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idor\DATOS\Google Drive\FONDESER SECRETARIA\FONDESER 2026\CONTROL INTERNO\Auditoria Contratos\"/>
    </mc:Choice>
  </mc:AlternateContent>
  <bookViews>
    <workbookView xWindow="11640" yWindow="0" windowWidth="17145" windowHeight="15570" activeTab="1"/>
  </bookViews>
  <sheets>
    <sheet name="CONT GRAL SGTO 2025 (6)" sheetId="9" r:id="rId1"/>
    <sheet name="CONT NOV - DIC" sheetId="5" r:id="rId2"/>
    <sheet name="MANUELA" sheetId="2" r:id="rId3"/>
    <sheet name="LUISA" sheetId="3" r:id="rId4"/>
    <sheet name="PILAR" sheetId="4" r:id="rId5"/>
  </sheets>
  <definedNames>
    <definedName name="_xlnm._FilterDatabase" localSheetId="0" hidden="1">'CONT GRAL SGTO 2025 (6)'!$A$17:$T$129</definedName>
    <definedName name="_xlnm._FilterDatabase" localSheetId="1" hidden="1">'CONT NOV - DIC'!$A$17:$T$129</definedName>
    <definedName name="_xlnm._FilterDatabase" localSheetId="3" hidden="1">LUISA!$A$16:$U$16</definedName>
    <definedName name="_xlnm._FilterDatabase" localSheetId="2" hidden="1">MANUELA!$A$16:$U$16</definedName>
    <definedName name="_xlnm._FilterDatabase" localSheetId="4" hidden="1">PILAR!$A$16:$U$16</definedName>
    <definedName name="_Hlk158794827" localSheetId="0">'CONT GRAL SGTO 2025 (6)'!$H$33</definedName>
    <definedName name="_Hlk158794827" localSheetId="1">'CONT NOV - DIC'!$H$33</definedName>
    <definedName name="_Hlk158794827" localSheetId="3">LUISA!#REF!</definedName>
    <definedName name="_Hlk158794827" localSheetId="2">MANUELA!#REF!</definedName>
    <definedName name="_Hlk158794827" localSheetId="4">PILAR!#REF!</definedName>
    <definedName name="_Hlk164950782" localSheetId="0">'CONT GRAL SGTO 2025 (6)'!$N$42</definedName>
    <definedName name="_Hlk164950782" localSheetId="1">'CONT NOV - DIC'!$N$42</definedName>
    <definedName name="_Hlk164950782" localSheetId="3">LUISA!#REF!</definedName>
    <definedName name="_Hlk164950782" localSheetId="2">MANUELA!#REF!</definedName>
    <definedName name="_Hlk164950782" localSheetId="4">PILAR!#REF!</definedName>
    <definedName name="_Hlk191889179" localSheetId="0">'CONT GRAL SGTO 2025 (6)'!$H$39</definedName>
    <definedName name="_Hlk191889179" localSheetId="1">'CONT NOV - DIC'!$H$39</definedName>
    <definedName name="_Hlk191889179" localSheetId="3">LUISA!#REF!</definedName>
    <definedName name="_Hlk191889179" localSheetId="2">MANUELA!#REF!</definedName>
    <definedName name="_Hlk191889179" localSheetId="4">PILAR!#REF!</definedName>
    <definedName name="_Hlk192857042" localSheetId="0">'CONT GRAL SGTO 2025 (6)'!$N$43</definedName>
    <definedName name="_Hlk192857042" localSheetId="1">'CONT NOV - DIC'!$N$43</definedName>
    <definedName name="_Hlk192857042" localSheetId="3">LUISA!#REF!</definedName>
    <definedName name="_Hlk192857042" localSheetId="2">MANUELA!#REF!</definedName>
    <definedName name="_Hlk192857042" localSheetId="4">PILAR!#REF!</definedName>
    <definedName name="_Hlk193444542" localSheetId="0">'CONT GRAL SGTO 2025 (6)'!$H$43</definedName>
    <definedName name="_Hlk193444542" localSheetId="1">'CONT NOV - DIC'!$H$43</definedName>
    <definedName name="_Hlk193444542" localSheetId="3">LUISA!#REF!</definedName>
    <definedName name="_Hlk193444542" localSheetId="2">MANUELA!#REF!</definedName>
    <definedName name="_Hlk193444542" localSheetId="4">PILAR!#REF!</definedName>
    <definedName name="_Hlk195173545" localSheetId="0">'CONT GRAL SGTO 2025 (6)'!$H$52</definedName>
    <definedName name="_Hlk195173545" localSheetId="1">'CONT NOV - DIC'!$H$52</definedName>
    <definedName name="_Hlk195173545" localSheetId="3">LUISA!#REF!</definedName>
    <definedName name="_Hlk195173545" localSheetId="2">MANUELA!#REF!</definedName>
    <definedName name="_Hlk195173545" localSheetId="4">PILAR!#REF!</definedName>
    <definedName name="_Hlk214605632" localSheetId="0">'CONT GRAL SGTO 2025 (6)'!$N$117</definedName>
    <definedName name="_Hlk214605632" localSheetId="1">'CONT NOV - DIC'!$N$117</definedName>
    <definedName name="_Hlk214605638" localSheetId="0">'CONT GRAL SGTO 2025 (6)'!$N$114</definedName>
    <definedName name="_Hlk214605638" localSheetId="1">'CONT NOV - DIC'!$N$114</definedName>
    <definedName name="_Hlk63675339" localSheetId="0">'CONT GRAL SGTO 2025 (6)'!$N$25</definedName>
    <definedName name="_Hlk63675339" localSheetId="1">'CONT NOV - DIC'!$N$25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8" i="9" l="1"/>
  <c r="G128" i="9"/>
  <c r="P127" i="9"/>
  <c r="G127" i="9"/>
  <c r="P126" i="9"/>
  <c r="G126" i="9"/>
  <c r="P125" i="9"/>
  <c r="G125" i="9"/>
  <c r="P124" i="9"/>
  <c r="G124" i="9"/>
  <c r="P123" i="9"/>
  <c r="G123" i="9"/>
  <c r="P122" i="9"/>
  <c r="G122" i="9"/>
  <c r="P121" i="9"/>
  <c r="G121" i="9"/>
  <c r="P120" i="9"/>
  <c r="G120" i="9"/>
  <c r="P119" i="9"/>
  <c r="G119" i="9"/>
  <c r="P118" i="9"/>
  <c r="G118" i="9"/>
  <c r="P117" i="9"/>
  <c r="G117" i="9"/>
  <c r="P116" i="9"/>
  <c r="G116" i="9"/>
  <c r="P115" i="9"/>
  <c r="G115" i="9"/>
  <c r="P114" i="9"/>
  <c r="G114" i="9"/>
  <c r="P113" i="9"/>
  <c r="G113" i="9"/>
  <c r="O112" i="9"/>
  <c r="P112" i="9" s="1"/>
  <c r="G112" i="9"/>
  <c r="P111" i="9"/>
  <c r="G111" i="9"/>
  <c r="P110" i="9"/>
  <c r="O110" i="9"/>
  <c r="G110" i="9"/>
  <c r="O109" i="9"/>
  <c r="P109" i="9" s="1"/>
  <c r="G109" i="9"/>
  <c r="O108" i="9"/>
  <c r="P108" i="9" s="1"/>
  <c r="G108" i="9"/>
  <c r="P107" i="9"/>
  <c r="O107" i="9"/>
  <c r="G107" i="9"/>
  <c r="P106" i="9"/>
  <c r="G106" i="9"/>
  <c r="O105" i="9"/>
  <c r="P105" i="9" s="1"/>
  <c r="G105" i="9"/>
  <c r="O104" i="9"/>
  <c r="P104" i="9" s="1"/>
  <c r="G104" i="9"/>
  <c r="O103" i="9"/>
  <c r="P103" i="9" s="1"/>
  <c r="G103" i="9"/>
  <c r="O102" i="9"/>
  <c r="P102" i="9" s="1"/>
  <c r="G102" i="9"/>
  <c r="O101" i="9"/>
  <c r="P101" i="9" s="1"/>
  <c r="G101" i="9"/>
  <c r="O100" i="9"/>
  <c r="P100" i="9" s="1"/>
  <c r="G100" i="9"/>
  <c r="P99" i="9"/>
  <c r="G99" i="9"/>
  <c r="O98" i="9"/>
  <c r="P98" i="9" s="1"/>
  <c r="G98" i="9"/>
  <c r="P97" i="9"/>
  <c r="G97" i="9"/>
  <c r="P96" i="9"/>
  <c r="G96" i="9"/>
  <c r="P95" i="9"/>
  <c r="G95" i="9"/>
  <c r="P94" i="9"/>
  <c r="G94" i="9"/>
  <c r="P93" i="9"/>
  <c r="O93" i="9"/>
  <c r="G93" i="9"/>
  <c r="P92" i="9"/>
  <c r="O92" i="9"/>
  <c r="G92" i="9"/>
  <c r="P91" i="9"/>
  <c r="G91" i="9"/>
  <c r="O90" i="9"/>
  <c r="P90" i="9" s="1"/>
  <c r="G90" i="9"/>
  <c r="O89" i="9"/>
  <c r="P89" i="9" s="1"/>
  <c r="G89" i="9"/>
  <c r="P88" i="9"/>
  <c r="G88" i="9"/>
  <c r="O87" i="9"/>
  <c r="P87" i="9" s="1"/>
  <c r="G87" i="9"/>
  <c r="O86" i="9"/>
  <c r="P86" i="9" s="1"/>
  <c r="G86" i="9"/>
  <c r="P85" i="9"/>
  <c r="G85" i="9"/>
  <c r="P84" i="9"/>
  <c r="G84" i="9"/>
  <c r="P83" i="9"/>
  <c r="G83" i="9"/>
  <c r="P82" i="9"/>
  <c r="G82" i="9"/>
  <c r="O81" i="9"/>
  <c r="P81" i="9" s="1"/>
  <c r="G81" i="9"/>
  <c r="O80" i="9"/>
  <c r="P80" i="9" s="1"/>
  <c r="G80" i="9"/>
  <c r="P79" i="9"/>
  <c r="G79" i="9"/>
  <c r="O78" i="9"/>
  <c r="P78" i="9" s="1"/>
  <c r="G78" i="9"/>
  <c r="O77" i="9"/>
  <c r="P77" i="9" s="1"/>
  <c r="G77" i="9"/>
  <c r="P76" i="9"/>
  <c r="G76" i="9"/>
  <c r="O75" i="9"/>
  <c r="P75" i="9" s="1"/>
  <c r="G75" i="9"/>
  <c r="O74" i="9"/>
  <c r="P74" i="9" s="1"/>
  <c r="G74" i="9"/>
  <c r="O73" i="9"/>
  <c r="P73" i="9" s="1"/>
  <c r="G73" i="9"/>
  <c r="O72" i="9"/>
  <c r="P72" i="9" s="1"/>
  <c r="G72" i="9"/>
  <c r="O71" i="9"/>
  <c r="P71" i="9" s="1"/>
  <c r="G71" i="9"/>
  <c r="P70" i="9"/>
  <c r="G70" i="9"/>
  <c r="P69" i="9"/>
  <c r="O69" i="9"/>
  <c r="G69" i="9"/>
  <c r="O68" i="9"/>
  <c r="P68" i="9" s="1"/>
  <c r="G68" i="9"/>
  <c r="O67" i="9"/>
  <c r="P67" i="9" s="1"/>
  <c r="G67" i="9"/>
  <c r="P66" i="9"/>
  <c r="O66" i="9"/>
  <c r="G66" i="9"/>
  <c r="P65" i="9"/>
  <c r="O65" i="9"/>
  <c r="G65" i="9"/>
  <c r="O64" i="9"/>
  <c r="P64" i="9" s="1"/>
  <c r="G64" i="9"/>
  <c r="O63" i="9"/>
  <c r="P63" i="9" s="1"/>
  <c r="G63" i="9"/>
  <c r="P62" i="9"/>
  <c r="O62" i="9"/>
  <c r="I62" i="9"/>
  <c r="G62" i="9"/>
  <c r="O61" i="9"/>
  <c r="P61" i="9" s="1"/>
  <c r="G61" i="9"/>
  <c r="O60" i="9"/>
  <c r="I60" i="9"/>
  <c r="P60" i="9" s="1"/>
  <c r="G60" i="9"/>
  <c r="O59" i="9"/>
  <c r="P59" i="9" s="1"/>
  <c r="G59" i="9"/>
  <c r="P58" i="9"/>
  <c r="G58" i="9"/>
  <c r="O57" i="9"/>
  <c r="P57" i="9" s="1"/>
  <c r="G57" i="9"/>
  <c r="P56" i="9"/>
  <c r="G56" i="9"/>
  <c r="O55" i="9"/>
  <c r="P55" i="9" s="1"/>
  <c r="G55" i="9"/>
  <c r="P54" i="9"/>
  <c r="O54" i="9"/>
  <c r="G54" i="9"/>
  <c r="P53" i="9"/>
  <c r="O53" i="9"/>
  <c r="G53" i="9"/>
  <c r="P52" i="9"/>
  <c r="G52" i="9"/>
  <c r="O51" i="9"/>
  <c r="I51" i="9"/>
  <c r="P51" i="9" s="1"/>
  <c r="G51" i="9"/>
  <c r="P50" i="9"/>
  <c r="O50" i="9"/>
  <c r="G50" i="9"/>
  <c r="P49" i="9"/>
  <c r="O49" i="9"/>
  <c r="I49" i="9"/>
  <c r="G49" i="9"/>
  <c r="O48" i="9"/>
  <c r="P48" i="9" s="1"/>
  <c r="G48" i="9"/>
  <c r="P47" i="9"/>
  <c r="G47" i="9"/>
  <c r="P46" i="9"/>
  <c r="O46" i="9"/>
  <c r="G46" i="9"/>
  <c r="P45" i="9"/>
  <c r="O45" i="9"/>
  <c r="G45" i="9"/>
  <c r="P44" i="9"/>
  <c r="G44" i="9"/>
  <c r="O43" i="9"/>
  <c r="P43" i="9" s="1"/>
  <c r="G43" i="9"/>
  <c r="O42" i="9"/>
  <c r="P42" i="9" s="1"/>
  <c r="G42" i="9"/>
  <c r="O41" i="9"/>
  <c r="P41" i="9" s="1"/>
  <c r="G41" i="9"/>
  <c r="O40" i="9"/>
  <c r="P40" i="9" s="1"/>
  <c r="G40" i="9"/>
  <c r="O39" i="9"/>
  <c r="P39" i="9" s="1"/>
  <c r="G39" i="9"/>
  <c r="O38" i="9"/>
  <c r="P38" i="9" s="1"/>
  <c r="G38" i="9"/>
  <c r="O37" i="9"/>
  <c r="P37" i="9" s="1"/>
  <c r="G37" i="9"/>
  <c r="O36" i="9"/>
  <c r="P36" i="9" s="1"/>
  <c r="G36" i="9"/>
  <c r="O35" i="9"/>
  <c r="I35" i="9"/>
  <c r="P35" i="9" s="1"/>
  <c r="G35" i="9"/>
  <c r="P34" i="9"/>
  <c r="O34" i="9"/>
  <c r="G34" i="9"/>
  <c r="P33" i="9"/>
  <c r="O33" i="9"/>
  <c r="I33" i="9"/>
  <c r="G33" i="9"/>
  <c r="O32" i="9"/>
  <c r="I32" i="9"/>
  <c r="I129" i="9" s="1"/>
  <c r="G32" i="9"/>
  <c r="O31" i="9"/>
  <c r="P31" i="9" s="1"/>
  <c r="G31" i="9"/>
  <c r="O30" i="9"/>
  <c r="P30" i="9" s="1"/>
  <c r="G30" i="9"/>
  <c r="O29" i="9"/>
  <c r="P29" i="9" s="1"/>
  <c r="G29" i="9"/>
  <c r="O28" i="9"/>
  <c r="P28" i="9" s="1"/>
  <c r="G28" i="9"/>
  <c r="O27" i="9"/>
  <c r="P27" i="9" s="1"/>
  <c r="G27" i="9"/>
  <c r="O26" i="9"/>
  <c r="P26" i="9" s="1"/>
  <c r="G26" i="9"/>
  <c r="O25" i="9"/>
  <c r="P25" i="9" s="1"/>
  <c r="G25" i="9"/>
  <c r="P24" i="9"/>
  <c r="G24" i="9"/>
  <c r="O23" i="9"/>
  <c r="P23" i="9" s="1"/>
  <c r="G23" i="9"/>
  <c r="O22" i="9"/>
  <c r="P22" i="9" s="1"/>
  <c r="G22" i="9"/>
  <c r="P21" i="9"/>
  <c r="O21" i="9"/>
  <c r="G21" i="9"/>
  <c r="O20" i="9"/>
  <c r="P20" i="9" s="1"/>
  <c r="G20" i="9"/>
  <c r="P19" i="9"/>
  <c r="G19" i="9"/>
  <c r="P18" i="9"/>
  <c r="O18" i="9"/>
  <c r="G18" i="9"/>
  <c r="I129" i="5"/>
  <c r="P32" i="9" l="1"/>
  <c r="O112" i="5"/>
  <c r="O41" i="5" l="1"/>
  <c r="I35" i="5"/>
  <c r="O35" i="5"/>
  <c r="I33" i="5"/>
  <c r="O32" i="5"/>
  <c r="I32" i="5"/>
  <c r="P113" i="5"/>
  <c r="P114" i="5"/>
  <c r="P115" i="5"/>
  <c r="P116" i="5"/>
  <c r="P117" i="5"/>
  <c r="P118" i="5"/>
  <c r="P119" i="5"/>
  <c r="P120" i="5"/>
  <c r="P121" i="5"/>
  <c r="P122" i="5"/>
  <c r="P123" i="5"/>
  <c r="P124" i="5"/>
  <c r="P125" i="5"/>
  <c r="P126" i="5"/>
  <c r="P127" i="5"/>
  <c r="P128" i="5"/>
  <c r="O110" i="5"/>
  <c r="P109" i="5"/>
  <c r="O109" i="5"/>
  <c r="O108" i="5"/>
  <c r="O107" i="5"/>
  <c r="O105" i="5"/>
  <c r="O104" i="5"/>
  <c r="O103" i="5"/>
  <c r="O102" i="5"/>
  <c r="O101" i="5"/>
  <c r="O100" i="5"/>
  <c r="O98" i="5"/>
  <c r="O93" i="5"/>
  <c r="O92" i="5"/>
  <c r="O90" i="5"/>
  <c r="O89" i="5"/>
  <c r="O87" i="5"/>
  <c r="O86" i="5"/>
  <c r="O81" i="5"/>
  <c r="O80" i="5"/>
  <c r="O78" i="5"/>
  <c r="O77" i="5"/>
  <c r="O75" i="5"/>
  <c r="O74" i="5"/>
  <c r="O73" i="5"/>
  <c r="O72" i="5"/>
  <c r="O71" i="5"/>
  <c r="O69" i="5"/>
  <c r="O68" i="5"/>
  <c r="O67" i="5"/>
  <c r="O66" i="5"/>
  <c r="O65" i="5"/>
  <c r="O64" i="5"/>
  <c r="O63" i="5"/>
  <c r="I62" i="5"/>
  <c r="O62" i="5"/>
  <c r="O61" i="5"/>
  <c r="O60" i="5" l="1"/>
  <c r="O59" i="5"/>
  <c r="O57" i="5"/>
  <c r="O55" i="5"/>
  <c r="O54" i="5"/>
  <c r="O53" i="5"/>
  <c r="O51" i="5"/>
  <c r="O50" i="5"/>
  <c r="O48" i="5"/>
  <c r="O46" i="5"/>
  <c r="O38" i="5"/>
  <c r="O34" i="5"/>
  <c r="O33" i="5"/>
  <c r="O31" i="5"/>
  <c r="O28" i="5"/>
  <c r="G113" i="5"/>
  <c r="G114" i="5"/>
  <c r="G115" i="5"/>
  <c r="G116" i="5"/>
  <c r="G117" i="5"/>
  <c r="G118" i="5"/>
  <c r="G119" i="5"/>
  <c r="G120" i="5"/>
  <c r="G121" i="5"/>
  <c r="G122" i="5"/>
  <c r="G123" i="5"/>
  <c r="G124" i="5"/>
  <c r="G125" i="5"/>
  <c r="G126" i="5"/>
  <c r="G127" i="5"/>
  <c r="G128" i="5"/>
  <c r="O42" i="5" l="1"/>
  <c r="O37" i="5"/>
  <c r="P112" i="5" l="1"/>
  <c r="P111" i="5"/>
  <c r="P110" i="5" l="1"/>
  <c r="P108" i="5"/>
  <c r="G111" i="5"/>
  <c r="G112" i="5"/>
  <c r="G108" i="5"/>
  <c r="G109" i="5"/>
  <c r="G110" i="5"/>
  <c r="P102" i="5"/>
  <c r="P92" i="5"/>
  <c r="P84" i="5"/>
  <c r="P107" i="5"/>
  <c r="P106" i="5"/>
  <c r="P105" i="5"/>
  <c r="P104" i="5"/>
  <c r="P103" i="5"/>
  <c r="P101" i="5"/>
  <c r="P100" i="5"/>
  <c r="P99" i="5"/>
  <c r="P98" i="5"/>
  <c r="P97" i="5"/>
  <c r="P96" i="5"/>
  <c r="P95" i="5"/>
  <c r="P94" i="5"/>
  <c r="P93" i="5"/>
  <c r="P91" i="5"/>
  <c r="P90" i="5"/>
  <c r="P89" i="5"/>
  <c r="P88" i="5"/>
  <c r="P87" i="5"/>
  <c r="P86" i="5"/>
  <c r="P85" i="5"/>
  <c r="P83" i="5"/>
  <c r="P82" i="5"/>
  <c r="G82" i="5"/>
  <c r="G83" i="5"/>
  <c r="G84" i="5"/>
  <c r="G85" i="5"/>
  <c r="G86" i="5"/>
  <c r="G87" i="5"/>
  <c r="G88" i="5"/>
  <c r="G89" i="5"/>
  <c r="G90" i="5"/>
  <c r="G91" i="5"/>
  <c r="G92" i="5"/>
  <c r="G93" i="5"/>
  <c r="G94" i="5"/>
  <c r="G95" i="5"/>
  <c r="G96" i="5"/>
  <c r="G97" i="5"/>
  <c r="G98" i="5"/>
  <c r="G99" i="5"/>
  <c r="G100" i="5"/>
  <c r="G101" i="5"/>
  <c r="G102" i="5"/>
  <c r="G103" i="5"/>
  <c r="G104" i="5"/>
  <c r="G105" i="5"/>
  <c r="G106" i="5"/>
  <c r="G107"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20" i="5"/>
  <c r="G19" i="5"/>
  <c r="G18" i="5"/>
  <c r="I51" i="5" l="1"/>
  <c r="O49" i="5"/>
  <c r="I49" i="5"/>
  <c r="O45" i="5"/>
  <c r="O43" i="5"/>
  <c r="O39" i="5"/>
  <c r="O36" i="5"/>
  <c r="O30" i="5"/>
  <c r="O29" i="5"/>
  <c r="O27" i="5"/>
  <c r="O26" i="5"/>
  <c r="P26" i="5" s="1"/>
  <c r="O25" i="5"/>
  <c r="P25" i="5" s="1"/>
  <c r="O20" i="5"/>
  <c r="O21" i="5"/>
  <c r="O22" i="5"/>
  <c r="O23" i="5"/>
  <c r="P23" i="5" s="1"/>
  <c r="P78" i="5"/>
  <c r="P77" i="5"/>
  <c r="P68" i="5"/>
  <c r="P64" i="5"/>
  <c r="P65" i="5"/>
  <c r="P66" i="5"/>
  <c r="P67" i="5"/>
  <c r="P69" i="5"/>
  <c r="P70" i="5"/>
  <c r="P71" i="5"/>
  <c r="P72" i="5"/>
  <c r="P73" i="5"/>
  <c r="P74" i="5"/>
  <c r="P75" i="5"/>
  <c r="P76" i="5"/>
  <c r="P79" i="5"/>
  <c r="P80" i="5"/>
  <c r="P81" i="5"/>
  <c r="P63" i="5"/>
  <c r="P62" i="5"/>
  <c r="P61" i="5"/>
  <c r="I60" i="5"/>
  <c r="P24" i="5"/>
  <c r="P60" i="5" l="1"/>
  <c r="O18" i="5"/>
  <c r="P59" i="5" l="1"/>
  <c r="P58" i="5"/>
  <c r="P57" i="5"/>
  <c r="P56" i="5"/>
  <c r="P55" i="5"/>
  <c r="P54" i="5"/>
  <c r="P53" i="5"/>
  <c r="P52" i="5"/>
  <c r="P51" i="5"/>
  <c r="P50" i="5"/>
  <c r="P49" i="5"/>
  <c r="P48" i="5"/>
  <c r="P47" i="5"/>
  <c r="P46" i="5"/>
  <c r="P45" i="5"/>
  <c r="P44" i="5"/>
  <c r="P43" i="5"/>
  <c r="P42" i="5"/>
  <c r="P41" i="5"/>
  <c r="O40" i="5"/>
  <c r="P40" i="5" s="1"/>
  <c r="P39" i="5"/>
  <c r="P38" i="5"/>
  <c r="P37" i="5"/>
  <c r="P36" i="5"/>
  <c r="P35" i="5"/>
  <c r="P34" i="5"/>
  <c r="P33" i="5"/>
  <c r="P32" i="5"/>
  <c r="P31" i="5"/>
  <c r="P30" i="5"/>
  <c r="P29" i="5"/>
  <c r="P28" i="5"/>
  <c r="P27" i="5"/>
  <c r="P22" i="5"/>
  <c r="P21" i="5"/>
  <c r="P20" i="5"/>
  <c r="P19" i="5"/>
  <c r="P18" i="5"/>
</calcChain>
</file>

<file path=xl/sharedStrings.xml><?xml version="1.0" encoding="utf-8"?>
<sst xmlns="http://schemas.openxmlformats.org/spreadsheetml/2006/main" count="4500" uniqueCount="438">
  <si>
    <t>pilar</t>
  </si>
  <si>
    <t>GLOBAL SOLUCIONES FP S.A.S 
Nit: 901916606-3 
FRANCISCO ANTONIO PARRA RENDON 
CC. 71.112.188</t>
  </si>
  <si>
    <t>INVITACIÓN ÚNICA</t>
  </si>
  <si>
    <t>PRESTACION DE SERVICIOS</t>
  </si>
  <si>
    <t>PRESTACIÓN DE SERVICIOS LOGÍSTICOS Y DE GESTION PARA LA EJECUCION DE LAS ACTIVIDADES DE LOS PROGRAMAS DE LA LÍNEA 1 “CONDICIONES DE VIDA PARA LA EQUIDAD, SOMOS TODOS” LÍNEA 2 “SOSTENIBILIDAD SOCIAL Y AMBIENTAL SOMOS TODOS” Y LÍNEA 6 “COMPETITIVIDAD ESTRATÉGICA, SOMOS TODOS” DE LA SECRETARÍA DE DESARROLLO ECONÓMICO Y COMPETITIVO</t>
  </si>
  <si>
    <t>luisa</t>
  </si>
  <si>
    <t>SCS CONSULTORÍA E INTERVENTORÍA DE PROYECTOS DE INGENIERÍA S.A.S. 
NIT 901.155.456-9
DAVID ESTRADA GARCÍA 
1.010.138.464</t>
  </si>
  <si>
    <t>CONSULTORIA</t>
  </si>
  <si>
    <t>REALIZAR ESTUDIOS Y DISEÑOS DE PROYECTOS INCLUIDOS EN EL PLAN DE DESARROLLO 2024-2027 EL RETIRO SOMOS TODOS” COMO SON DISTRITO DEL MUEBLE Y LA MADERA, CASA DE LA JUVENTUD Y ESCENARIOS DEPORTIVOS, DERIVADO DEL CONTRATO INTERADMINISTRATIVO 025 – 2025 CELEBRADO CON EL MUNICIPIO DE EL RETIR</t>
  </si>
  <si>
    <t>EN EJECUCION</t>
  </si>
  <si>
    <t>HERNÁN DE JESÚS CALLE CASTAÑO 
C.C. 71.555.939</t>
  </si>
  <si>
    <t>SUMINISTROS</t>
  </si>
  <si>
    <t>SUMINISTRO DE MATERIALES, INSUMOS DE CONSTRUCCION Y FERRETERIA, JUNTO CON EL ALQUILER DE MAQUINARIA MENOR, CON EL FIN DE GARANTIZAR EL EQUIPAMIENTO MUNICIPAL Y LOGRAR LAS INTERVENCIONES NECESARIAS; PROCURANDO EL MANTENIMIENTO, ADECUACIÓN Y CONSERVACIÓN DE LA INFRAESTRUCTURA PÚBLICA DEL MUNICIPIO DE EL RETIRO, DERIVADO DEL CONTRATO INTERADMINSITRATIVO 021-2025</t>
  </si>
  <si>
    <t xml:space="preserve">CONSTRUIR Y PROGRESAR S.A.S. 
NIT 901115437-8 
DANIEL ESTEBAN QUINTERO HINCAPIÉ 
CC 1.041.232.530  </t>
  </si>
  <si>
    <t>OBRA PUBLICA</t>
  </si>
  <si>
    <t>MANTENIMIENTO DE LA PLACA HUELLA DEL MUNICIPIO DE EL RETIRO, DERIVADO DEL CONTRATO INTERADMINISTRATIVO 022 DE 2025</t>
  </si>
  <si>
    <t>HUMBERTO ESTEBAN VIDES SAJONA 
CC.  98.654.946</t>
  </si>
  <si>
    <t>INTERVENTORIA</t>
  </si>
  <si>
    <t>manuela</t>
  </si>
  <si>
    <t>ASEGURADORA SOLIDARIA NIT. 860524654-6 representado por LUIS FERNANDO MEJIA ORTIZ  CC. 71.646.903</t>
  </si>
  <si>
    <t>CONSTITUCION DE SEGUROS QUE AMPARE LA VIDA DE DEUDORES Y POLIZAS TODO RIESGO SOBRE BIENES E INTERESES PATRIMONIALES A CARGO DEL FONDO DE DESARROLLO SOCIAL DE EL RETIRO</t>
  </si>
  <si>
    <t>PALMA CONSTRUYE S.A.S 
NIT 901.054.152-1 
WISTON PALACIO MAQUILON  
CC 98.615.863</t>
  </si>
  <si>
    <r>
      <t xml:space="preserve">ADECUACION Y REPOSICION DE EQUIPOS DEL SISTEMA DE CAPTACION Y TRATAMIENTO EN EL ACUEDUCTO DEL CENTRO POBLADO DEL CORREGIMIENTO EL JARDIN TAMANA DEL MUNICIPIO DE </t>
    </r>
    <r>
      <rPr>
        <b/>
        <sz val="11"/>
        <rFont val="Arial"/>
        <family val="2"/>
      </rPr>
      <t>CÁCERES, ANTIOQUIA</t>
    </r>
    <r>
      <rPr>
        <sz val="11"/>
        <rFont val="Arial"/>
        <family val="2"/>
      </rPr>
      <t>, DERIVADO DEL CONTRATO INTERADMINISTRATIVO DE ADMINISTRACIÓN DELEGADA 002 - 2025</t>
    </r>
  </si>
  <si>
    <t>GABRIEL AGUILAR LOPERA C.C. 1.037.589.392</t>
  </si>
  <si>
    <t>PRESTAR LOS SERVICIOS PROFESIONALES COMO INGENIERO CIVIL, DIRECTOR O COORDINADOR DE LA INTERVENTORÍA TÉCNICA Y ADMINISTRATIVA DURANTE LA CONSTRUCCIÓN DEL PROYECTO RETIRO PARK</t>
  </si>
  <si>
    <t>IVAN DARIO ECHEVERRI ANGEL
CC. 3.558.428</t>
  </si>
  <si>
    <t>FRANCISCO ANTONIO PARRA RENDON
CC. 71112188</t>
  </si>
  <si>
    <t>PRESTACIÓN DE SERVICIOS LOGÍSTICOS Y DE GESTION PARA LA EJECUCIÓN DE LAS ACTIVIDADES DE LOS PROGRAMAS DE LA SECRETARIA DE BIENESTAR SOCIAL Y PARTICIPACIÓN COMUNITARIA Y SUS DIRECCIONES DEL MUNICIPIO DE EL RETIRO, PARA LA VIGENCIA 2025</t>
  </si>
  <si>
    <t>ICCONO S.A.S. 
NIT 900.541.997-3 
YOVANI AUGUSTO ZAPATA ZABALA 
 CC 15.328.893</t>
  </si>
  <si>
    <t>EJECUCIÓN DE ACTIVIDADES ENCAMINADAS A REALIZAR LAS LABORES DE MANTENIMIENTO GENERAL DE VÍAS TERCIARIAS EN EL MUNICIPIO DE EL RETIRO, DERIVADO DEL CONTRATO INTERADMINISTRATIVO 13 DE 2025</t>
  </si>
  <si>
    <t>COMERCIALIZADORA REC SAS         NIT 901909059-5
ROBINSON BEDOYA SANCHEZ          CC. 71.557.164</t>
  </si>
  <si>
    <t>SERVICIO DE ALIMENTACIÓN COMO APOYO A LAS DIVERSAS ACTIVIDADES DE ASISTENCIA SOCIAL LIDERADAS POR LAS SECRETARÍAS DE LA ADMINISTRACIÓN MUNICIPAL Y EL DESPACHO DEL SEÑOR ALCALDE EN EL MARCO DEL CONTRATO INTERADMINSITRATIVO 20 DE 2025</t>
  </si>
  <si>
    <t>PROYECIVIL S.A.S 
NIT 900.948.828-5 
ERIKA MARÍA PÉREZ RUIZ 
CC 43.616.577</t>
  </si>
  <si>
    <t>MEJORAMIENTO DE LA MALLA VIAL DEL MUNICIPIO DE EL RETIRO, DERIVADO DEL CONTRATO INTERADMINISTRATIVO 015 DE 2025</t>
  </si>
  <si>
    <t>SERVISUMINISTROS JP S.A.S
NIT 901477948-2
CRISTIAN CAMILO GARCIA CASTAÑEDA
CC.1.040.183.021</t>
  </si>
  <si>
    <t>PRESTACIÓN DE SERVICIOS LOGÍSTICOS Y DE GESTION PARA LA EJECUCIÓN DE LAS ACTIVIDADES DE LOS PROGRAMAS DE LA LÍNEA 3 “SEGURIDAD Y CONVIVENCIA, SOMOS TODOS” DE LA SECRETARÍA DE GOBIERNO Y CONVIVENCIA CIUDADANA DEL MUNICIPIO DE EL RETIRO</t>
  </si>
  <si>
    <t>SINERGIA INTERVENTORIA Y CONSTRUCCION  S.A.S. NIT 901026111-0 
SANDRA MILENA FRANCO VANEGAS 
CC 43.635.791</t>
  </si>
  <si>
    <t>INTERVENTORÍA TÉCNICA, ADMINISTRATIVA, FINANCIERA, AMBIENTAL Y SOCIAL PARA LA CONSTRUCCIÓN DE PLACA HUELLA EN EL MUNICIPIO DE EL RETIRO EN CONCORDANCIA CON EL CONVENIO N° 24AS111B2065 SUSCRITO CON LA GOBERNACIÓN DE ANTIOQUIA, DERIVADO DEL CONTRATO INTERADMINISTRATIVO 014 DE 2025</t>
  </si>
  <si>
    <t xml:space="preserve">OMEGA INGENIERIA ASOCIADOS S.A.S NIT 811.046.667-2
WILLIAM ANTONIO BALCAZAR BOTERO CC 71.652.056  </t>
  </si>
  <si>
    <t>CONSTRUCCIÓN DE PLACA HUELLA EN EL MUNICIPIO DE EL RETIRO EN CONCORDANCIA CON EL CONVENIO N° 24AS111B2065 SUSCRITO CON LA GOBERNACIÓN DE ANTIOQUIA, DERIVADO DEL CONTRATO INTERADMINISTRATIVO 014 DE 2025</t>
  </si>
  <si>
    <t>SANTIAGO GIRALDO AGUDELO C.C. 1.036.943.595</t>
  </si>
  <si>
    <t>PRESTAR LOS SERVICIOS DE APOYO COMO SOPORTE TECNICO EN LOS DIFERENTES SISTEMAS DE INFORMACION, MANTENIMIENTO Y CONTROL DE REDES, HARDWARE Y SOFTWARE DE LA ENTIDAD</t>
  </si>
  <si>
    <t>SEBASTIÁN LÓPEZ GIRALDO C.C. 1.036.958.775</t>
  </si>
  <si>
    <t>PRESTAR LOS SERVICIOS DE APOYO COMO TECNÓLOGO EN CONSTRUCCIONES CIVILES EN EL ACOMPAÑAMIENTO A LA SUPERVISIÓN E INTERVENTORÍA DE LOS CONTRATOS DE OBRA SUSCRITOS POR FONDESER CON LAS DIFERENTES ENTIDADES PÚBLICAS O PRIVADAS.</t>
  </si>
  <si>
    <t>CONSTRUCTORA EXCELSIOR S.A.S. 
NIT 800220301-8 
CARLOS ANDRÉS LÓPEZ JIMÉNEZ 
CC 1.128.391.115</t>
  </si>
  <si>
    <t>CONSTRUCCIÓN DE OBRAS DE ESTABILIZACIÓN Y PROTECCIÓN EN LA QUEBRADA LA AGUDELO Y EL RÍO PANTANILLO, ORIENTADAS A MITIGAR LOS RIESGOS GENERADOS POR FENÓMENOS MORFODINÁMICOS Y SALVAGUARDAR LAS FUENTES HÍDRICAS DEL MUNICIPIO DE EL RETIRO, DERIVADO DEL CONTRATO INTERADMINISTRATIVO DE ADMINISTRACIÓN DELEGADA 08 DE 2025</t>
  </si>
  <si>
    <t>SERVISUMINISTROS A&amp;D S.A.S. NIT 900933008-7 representado legalmente por SILVIA LUZ PALACIO ATEHORTUA identificada con C.C. 42.775.296</t>
  </si>
  <si>
    <t>“MANTENIMIENTO EN LOS CAMINOS VEREDALES DEL MUNICIPIO DE EL RETIRO, DERIVADO DEL CONTRATO INTERADMINISTRATIVO 05 DE 2025</t>
  </si>
  <si>
    <t>IMPORTACIONES NISUTA S.A.S.  
NIT 900.678.108 – 1  SINDY JOHANA RESTREPO VASQUEZ
CC. 1.026.133.534</t>
  </si>
  <si>
    <t>MANTENIMIENTO PREVENTIVO Y CORRECTIVO A LA RED DE TELECOMUNICACIONES DE LA ADMINISTRACIÓN MUNICIPAL, ASÍ MISMO EL DIAGNÓSTICO, REPARACIÓN, OPTIMIZACIÓN Y PERFECCIONAMIENTO DE LA INFRAESTRUCTURA DE TELECOMUNICACIONES, EQUIPOS ACTIVOS Y PASIVOS, CABLEADO ESTRUCTURADO, REDES DE DATOS Y OTROS ELEMENTOS, UBICADOS EN LA ZONA URBANA Y RURAL DEL MUNICIPIO. DERIVADO DEL CONTRATO INTERADMINISTRATIVO C.I 011 DE 2025 CELEBRADO CON EL MUNICIPIO DE EL RETIRO</t>
  </si>
  <si>
    <t>PRESTACIÓN DE SERVICIOS LOGÍSTICOS QUE PERMITAN LA CELEBRACION Y CONMEMORACION DE FECHAS ESPECIALES DE LA ENTIDAD</t>
  </si>
  <si>
    <t>ESTEBAN BUITRAGO GARCIA C.C. 1.040.181.556</t>
  </si>
  <si>
    <t>PRESTACION DE SERVICIOS DE APOYO A LA GESTION EN LOS PROCESOS DE COMUNICACIÓN DE LA ENTIDAD</t>
  </si>
  <si>
    <t>NEUROVID - CENTRO DE EVALUACION Y RE-HABILITACION NEUROPSICOLOGICA S.A.S NIT 9 00704804-1</t>
  </si>
  <si>
    <t>EFECTUAR LA ACTUALIZACIÓN Y APLICACIÓN DE EVALUACIONES NEUROPSICOLÓGICAS Y VALORACIONES DE PSIQUIATRÍA A LA POBLACIÓN DE LAS INSTITUCIONES EDUCATIVAS OFICIALES DEL MUNICIPIO DE EL RETIRO DERIVADO DEL CONTRATO INTERADMINISTRATIVO 007-2025</t>
  </si>
  <si>
    <t>segunda auditoria</t>
  </si>
  <si>
    <t>Final</t>
  </si>
  <si>
    <t>Inicio</t>
  </si>
  <si>
    <t>COMENTARIOS</t>
  </si>
  <si>
    <t>Estado</t>
  </si>
  <si>
    <t>SALDO LIBERADO O PENDIENTE POR EJECUTAR</t>
  </si>
  <si>
    <t>Valor ejecutado</t>
  </si>
  <si>
    <t>Nombre Contratista</t>
  </si>
  <si>
    <t>Modalidad de selección</t>
  </si>
  <si>
    <t>Tipo de contrato</t>
  </si>
  <si>
    <t>Fecha del contrato</t>
  </si>
  <si>
    <t>Valor total (incluido adiciones)</t>
  </si>
  <si>
    <t>Objeto del contrato</t>
  </si>
  <si>
    <t>N° de contrato</t>
  </si>
  <si>
    <t>Dependencia ejecutora</t>
  </si>
  <si>
    <t>Fuente de los recursos</t>
  </si>
  <si>
    <t>Nombre del proyecto (BPIN)</t>
  </si>
  <si>
    <t>N° código del proyecto  (BPIN)</t>
  </si>
  <si>
    <t>Programa</t>
  </si>
  <si>
    <t>controlinterno@fondeser.co</t>
  </si>
  <si>
    <t>Correo Electronico:</t>
  </si>
  <si>
    <t>Celular:</t>
  </si>
  <si>
    <t>CONTRATOS POR ADMINISTRACION DELEGADA - (OBRA)</t>
  </si>
  <si>
    <t>604 541 0934</t>
  </si>
  <si>
    <t>Teléfono:</t>
  </si>
  <si>
    <t>CONTRATOS POR CONVENIOS INTERADMINISTRATIVOS - (LOGISTICA)</t>
  </si>
  <si>
    <t>Ruben Antonio Castaño Serna y Maria Del Pilar Rios Montoya</t>
  </si>
  <si>
    <t>Diligenciado Por:</t>
  </si>
  <si>
    <t xml:space="preserve">CONTRATOS ADMINISTRATIVOS INTERNOS </t>
  </si>
  <si>
    <t>Perioso Auditado:</t>
  </si>
  <si>
    <t xml:space="preserve">TIPO DE CONTRATO </t>
  </si>
  <si>
    <t>N.A.</t>
  </si>
  <si>
    <t>N.A</t>
  </si>
  <si>
    <t xml:space="preserve">RECURSOS PROPIOS </t>
  </si>
  <si>
    <t>FONDESER</t>
  </si>
  <si>
    <t>CONSTRUCCIÓN DE UN BOX CULVERT SOBRE LA QUEBRADA EL TIGRE, EN EL TRAMO VIAL ENTRE LAS VEREDAS TABACAL ALTO Y TABACAL BAJO, EN EL MUNICIPIO DE EL RETIRO, CON EL FIN DE CANALIZAR LAS AGUAS, PROTEGER LA FUENTE HÍDRICA Y MEJORAR LA INFRAESTRUCTURA VIAL, DERIVADO DEL CONTRATO INTERADMINISTRATIVO 042 DE 2024</t>
  </si>
  <si>
    <t>14/01/2025</t>
  </si>
  <si>
    <t>14/05/2025</t>
  </si>
  <si>
    <t>INGENIERÍA TRIPLE C  S.A.S                                   NIT: 900.586.851-0                                   LUIS FELIPE OCAMPO GONZÁLEZ                                   CC: 1.036.940.573</t>
  </si>
  <si>
    <t>INTERVENTORÍA TÉCNICA, ADMINISTRATIVA, FINANCIERA, AMBIENTAL Y SOCIAL PARA LA CONSTRUCCIÓN DE UN BOX CULVERT SOBRE LA QUEBRADA EL TIGRE, EN EL TRAMO VIAL ENTRE LAS VEREDAS TABACAL ALTO Y TABACAL BAJO, EN EL MUNICIPIO DE EL RETIRO, CON EL FIN DE CANALIZAR LAS AGUAS, PROTEGER LA FUENTE HÍDRICA Y MEJORAR LA INFRAESTRUCTURA VIAL, DERIVADO DEL CONTRATO INTERADMINISTRATIVO 042 - 2024</t>
  </si>
  <si>
    <t>30/05/2025</t>
  </si>
  <si>
    <t>PROYECTOS DE INGENIERÍA Y ARQUITECTURA PIA S.A.S. 
NIT 900.979.660-8
MARTHA ROSA GALLO GÓMEZ 
CC 21.962.814</t>
  </si>
  <si>
    <t>ASESORÍA JURIDICA, ADMINISTRATIVA Y REPRESENTACION JUDICIAL PARA EL FONDO DE DESARROLLO SOCIAL DEL MUNICIPIO DE EL RETIRO – FONDESER</t>
  </si>
  <si>
    <t>21/01/2025</t>
  </si>
  <si>
    <t>30/06/2025</t>
  </si>
  <si>
    <t>JUAN FELIPE SIERRA CASTRILLON 
C.C. 8.355.330</t>
  </si>
  <si>
    <t>ASESORÍA CONTABLE Y TRIBUTARIA PARA EL FONDO DE DESARROLLO SOCIAL DE EL RETIRO – FONDESER</t>
  </si>
  <si>
    <t>20/01/2025</t>
  </si>
  <si>
    <t>MARÍA CAMILA RAMÍREZ BEDOYA 
C.C. 1.040.182.405</t>
  </si>
  <si>
    <t>PRESTAR LOS SERVICIOS PROFESIONALES COMO INGENIERA CIVIL EN EL ACOMPAÑAMIENTO Y APOYO EN LA SUPERVISIÓN E INTERVENTORÍA DE LOS CONTRATOS DE OBRA SUSCRITOS POR FONDESER CON LAS DIFERENTES ENTIDADES PÚBLICAS O PRIVADAS</t>
  </si>
  <si>
    <t>LUISA FERNANDA CARDONA RAMÍREZ 
C.C. 1.040.045.265</t>
  </si>
  <si>
    <t>PRESTACIÓN DE SERVICIOS DE AUXILIAR CONTABLE Y ADMINISTRATIVO PARA EL FONDO DE DESARROLLO SOCIAL DE EL RETIRO – FONDESER</t>
  </si>
  <si>
    <t>TATIANA MORALES SANCHEZ 
C.C. 1.040.183.182</t>
  </si>
  <si>
    <t>ASESORÍA Y APOYO EN LA GESTIÓN INSTITUCIONAL Y PROCESOS ADMINISTRATIVA DE LA ENTIDAD</t>
  </si>
  <si>
    <t>22/01/2025</t>
  </si>
  <si>
    <t>MARIA DEL PILAR RIOS MONTOYA 
C.C. 1.040.181.621</t>
  </si>
  <si>
    <t>ASESORÍA EN Control Interno PARA EL FONDO DE DESARROLLO SOCIAL DE EL RETIRO – FONDESER</t>
  </si>
  <si>
    <t>23/01/2025</t>
  </si>
  <si>
    <t>RUBEN ANTONIO CASTAÑO SERNA 
C.C. 3.558.483</t>
  </si>
  <si>
    <t>PRESTAR EL SERVICIO DE ASEO INSTITUCIONAL AL INTERIOR DE LAS INSTALACIONES DE FONDESER</t>
  </si>
  <si>
    <t>27/01/2025</t>
  </si>
  <si>
    <t>31/12/2025</t>
  </si>
  <si>
    <t xml:space="preserve">RETIRAR S.A. E.S.P. 
NIT 811028985-3
YEIDER ALEXANDER RINCÓN BENJUMEA </t>
  </si>
  <si>
    <t>ACTUALIZACIÓN, SOPORTE TÉCNICO, FACTURACIÓN ELECTRONICA Y GARANTÍA DE LOS MÓDULOS SAIMYR IMPLANTADOS EN LA ENTIDAD</t>
  </si>
  <si>
    <t>04/02/2025</t>
  </si>
  <si>
    <t>SAIMYR S.A.S 
NIT. 811.029. 572-1 
JUAN FELIPE ISAZA ARANGO 
C.C. 70.140.241</t>
  </si>
  <si>
    <t>APOYO EN LA GESTIÓN INSTITUCIONAL Y PROCESOS ADMINISTRATIVA DE LA ENTIDAD</t>
  </si>
  <si>
    <t>01/02/2025</t>
  </si>
  <si>
    <t>JESUS ANTONIO BEDOYA MEJIA 
C.C. 71.555.578</t>
  </si>
  <si>
    <t>PRESTACIÓN DE SERVICIOS, EN LA EMISION DE PROGRAMAS DE RADIO Y PAUTAS INSTITUCIONALES DE FONDESER A TRAVÉS DE LA EMISORA TEQUENDAMITA ESTÉREO, UNICO MEDIO RADIAL DEL MUNICIPIO DE EL RETIRO.</t>
  </si>
  <si>
    <t>07/02/2025</t>
  </si>
  <si>
    <t>30/12/2025</t>
  </si>
  <si>
    <t>ASOCIACION COMUNITARIA PRO CALIDAD HUMANA DE LOS GUARCEÑOS 
Nit. 811014856-0  (emisora)</t>
  </si>
  <si>
    <t>PRESTACIÓN DE SERVICIOS, DIGITALES, GRAFICOS Y LA ADMINISTRACIÓN DE LOS ACTIVOS DIGITALES DE LA ENTIDAD</t>
  </si>
  <si>
    <t>13/02/2025</t>
  </si>
  <si>
    <t>AGENCIA DÍNAMO S.A.S.                      
Nit : 901911077-4
JAROL ESTEBAN GIL JARAMILLO        
CC. 1.040.180.458</t>
  </si>
  <si>
    <t>SUMINISTRAR MATERIAL DE OFICINA, PAPELERIA Y EQUIPOS QUE PERMITAN EL CUMPLIMIENTO MISIONAL DE LA ENTIDAD</t>
  </si>
  <si>
    <t>20/02/2025</t>
  </si>
  <si>
    <t>COMERCIALIZADORA REC SAS         
NIT 901909059-5
ROBINSON BEDOYA SANCHEZ          
CC. 71.557.164</t>
  </si>
  <si>
    <t>SERVICIO DE ALIMENTACIÓN PARA LAS DIFERENTES ACTIVIDADES REALIZADAS POR LA SECRETARÍA DE GOBIERNO Y CONVIVENCIA CIUDADANA, LA FUERZA PÚBLICA Y PERSONAS CAPTURADAS Y PUESTAS A DISPOSICIÓN DE AUTORIDAD JUDICIAL COMPETENTE DERIVADO DEL CONTRATO INTERADMINISTRATIVO 006 DE 2025 CELEBRADO CON EL MUNICIPIO DEL RETIRO</t>
  </si>
  <si>
    <t>FRUTOS DEL PARAISO TROPICAL S.A.S.
NIT 900427582-3
WILLIAM GEOVANNY GONZALEZ 
CC 94256784</t>
  </si>
  <si>
    <t>PRESTACIÓN DE SERVICIOS DE APOYO A LA GESTIÓN EN OPERACIÓN LOGÍSTICA PARA LA ORGANIZACIÓN Y EJECUCIÓN DE LOS ACTOS PROTOCOLARIOS, SERVICIOS LOGÍSTICOS NECESARIOS PARA LA PRESENTACIÓN DE INFORMES CONSOLIDADOS SOBRE EL DESEMPEÑO CORPORATIVO; LA REALIZACIÓN DE ACTOS DE RECONOCIMIENTO PARA EXALTAR Y RECONOCER LA VIDA Y OBRA DE PERSONAS NATURALES O JURÍDICAS, COLECTIVOS, GRUPOS SOCIALES Y CULTURALES U ORGANIZACIONES SIN PERSONERÍA JURÍDICA POR EL CONCEJO MUNICIPAL DE EL RETIRO ANTIOQUIA DERIVADO DEL CONTRATO INTERADMINISTRATIVO CO1.PCCNTR.7514414 DE 2025, CONSECUTIVO INTERNO 102025</t>
  </si>
  <si>
    <t>21/02/2025</t>
  </si>
  <si>
    <t>SERVISUMINISTROS JYP S.A.S.
NIT 901477948-2
CRISTIAN CAMILO GARCÍA CASTAÑEDA
CC1.040.183.021</t>
  </si>
  <si>
    <t>“ADECUACION DE LA PISTA DE PATINAJE EN EL MUNICIPIO DE EL RETIRO, DERIVADO DEL CONTRATO INTERADMINISTRATIVO 043-2024”</t>
  </si>
  <si>
    <t>21/03/2025</t>
  </si>
  <si>
    <t>LUIS ALBERTO ARANGO ARREDONDO C.C. 98.542.412</t>
  </si>
  <si>
    <t>APOYO A LA GESTIÓN INSTITUCIONAL ADMINISTRATIVA Y DE LOGISTICA PARA EL FONDO PARA EL DESARROLLO SOCIAL DE EL RETIRO – FONDESER</t>
  </si>
  <si>
    <t>044-2025</t>
  </si>
  <si>
    <t>045-2025</t>
  </si>
  <si>
    <t>047-2025</t>
  </si>
  <si>
    <t>046-2025</t>
  </si>
  <si>
    <t>048-2025</t>
  </si>
  <si>
    <t>049-2025</t>
  </si>
  <si>
    <t>050-2025</t>
  </si>
  <si>
    <t>051-2025</t>
  </si>
  <si>
    <t>052-2025</t>
  </si>
  <si>
    <t>053-2025</t>
  </si>
  <si>
    <t>054-2025</t>
  </si>
  <si>
    <t>055-2025</t>
  </si>
  <si>
    <t>056-2025</t>
  </si>
  <si>
    <t>057-2025</t>
  </si>
  <si>
    <t>058-2025</t>
  </si>
  <si>
    <t>059-2025</t>
  </si>
  <si>
    <t>060-2025</t>
  </si>
  <si>
    <t>061-2025</t>
  </si>
  <si>
    <t>062-2025</t>
  </si>
  <si>
    <t>063-2025</t>
  </si>
  <si>
    <t>064-2025</t>
  </si>
  <si>
    <t>PRESTACIÓN DE SERVICIOS LOGÍSTICOS QUE PERMITAN LA CELEBRACION Y CONMEMORACION DE LOS 25 AÑOS DE EXISTENCIA DE LA ENTIDAD</t>
  </si>
  <si>
    <t>COMERCIALIZADORA REC SAS         NIT 901909059-5
ROBINSON BEDOYA SANCHEZ          CC. 71.557.164</t>
  </si>
  <si>
    <t>REALIZAR ESTUDIOS Y DISEÑOS DE PROYECTOS INCLUIDOS EN EL PLAN DE DESARROLLO 2024-2027 “EL RETIRO SOMOS TODOS” COMO SON PONTÓN LA PIEDRA, PUENTE LOS MEDIOS, PUENTE KR 17B, CENTRO DE FORMACIÓN PARA EL TRABAJO Y CENTRO CULTURAL, DERIVADO DEL CONTRATO INTERADMINISTRATIVO 025 – 2025 CELEBRADO CON EL MUNICIPIO DE EL RETIRO</t>
  </si>
  <si>
    <t xml:space="preserve">TEAM INGENIERÍA Y CONSULTORÍA, S.L SUCURSAL COLOMBIA 
NIT 900605096-9 
JUAN DAVID VÁSQUEZ RAMÍREZ
 CC. 1.128.268.962  </t>
  </si>
  <si>
    <t>PRESTACIÓN DE SERVICIOS LOGÍSTICOS Y DE GESTION PARA LA EJECUCION DE LAS ACTIVIDADES DE LAS DIRECCIONES DEL CONOCIMIENTO Y LA INNOVACIÓN, PLANEACIÓN ESTRATÉGICA Y LA OFICINA DE COMUNICACIONES CORPORATIVAS, ADSCRITAS A LA SECRETARÍA DE GESTIÓN Y DESARROLLO ESTRATÉGICO DEL MUNICIPIO DE EL RETIRO DURANTE EL AÑO 2025</t>
  </si>
  <si>
    <t>SERVISUMINISTROS A&amp;D S.A.S 
NIT 900933008-7 
SILVIA LUZ PALACIO ATEHORTUA 
CC 42.775.296</t>
  </si>
  <si>
    <t>ASESORÍA JURÍDICA, ADMINISTRATIVA Y REPRESENTACIÓN JUDICIAL PARA EL FONDO DE DESARROLLO SOCIAL DEL MUNICIPIO DE EL RETIRO – FONDESER</t>
  </si>
  <si>
    <t>JUAN FELIPE SIERRA CASTRILLÓN C.C. 8.355.330</t>
  </si>
  <si>
    <t>LUISA FERNANDA CARDONA RAMÍREZ C.C. 1.040.045.265</t>
  </si>
  <si>
    <t>CONSTRUCCIÓN (FASE 1) DEL PROYECTO ‘CAMPUS PARA LA
FORMACIÓN PROFESIONAL Y EL DESARROLLO TECNOLÓGICO’
EN LA CEJA ANTIOQUIA, DERIVADO DEL CONTRATO
INTERADMINISTRATIVO DE ADMINISTRACIÓN DELEGADA
CO1.PCCNTR.7957588 CELEBRADO CON EL SERVICIO
NACIONAL DE APRENDIZAJE -SENA</t>
  </si>
  <si>
    <t>FIRMA INGENIERÍA Y ARQUITECTURA S.A.S.
NIT 900376982-6,
JUAN DIEGO MEJÍA VALLEJO
CC. 71.793.619</t>
  </si>
  <si>
    <t>PRESTAR LOS SERVICIOS PROFESIONALES COMO INGENIERA CIVIL EN EL ACOMPAÑAMIENTO Y APOYO EN LA SUPERVISIÓN E INTERVENTORÍA DE LOS CONTRATOS DE OBRA SUSCRITOS POR FONDESER CON LAS DIFERENTES ENTIDADES PÚBLICAS O PRIVADAS.</t>
  </si>
  <si>
    <t>MARIA ALEJANDRA CARMONA ÁLVAREZ C.C. 1.007.292.254</t>
  </si>
  <si>
    <t>ASESORÍA EN CONTROL INTERNO PARA EL FONDO DE DESARROLLO SOCIAL DE EL RETIRO – FONDESER</t>
  </si>
  <si>
    <t>RUBEN ANTONIO CASTAÑO SERNA C.C. 3.558.483</t>
  </si>
  <si>
    <t>ASESORÍA CONTABLE Y TRIBUTARIA PARA EL FONDO DE
DESARROLLO SOCIAL DE EL RETIRO - FONDESER</t>
  </si>
  <si>
    <t>MARIA CAMILA RAMÍREZ BEDOYA C.C. 1.040.182.405</t>
  </si>
  <si>
    <t>CONSTRUCCIÓN DE ANDENES Y OBRAS COMPLEMENTARIAS PARA LA SEMIPEATONALIZACION DEL MUNICIPIO DE EL RETIRO, DERIVADO DEL CONTRATO INTERADMINISTRATIVO 025 – 2025</t>
  </si>
  <si>
    <t>CONSTRUCTORA CELEC S.A.S. 
NIT 901.041.235-8 
VIVIANA PAOLA MONTOYA ZULUAGA 
CC 1.036.937.375</t>
  </si>
  <si>
    <t>INTERVENTORÍA TÉCNICA, ADMINISTRATIVA, FINANCIERA,
AMBIENTAL Y SOCIAL PARA LA CONSTRUCCIÓN DE
ANDENES Y OBRAS COMPLEMENTARIAS PARA LA
SEMIPEATONALIZACION DEL MUNICIPIO DE EL RETIRO,
DERIVADO DEL CONTRATO INTERADMINISTRATIVO 025 -
2025</t>
  </si>
  <si>
    <t>JOSE LEONCIO GÓMEZ HERNÁNDEZ. CC. 70.902.827</t>
  </si>
  <si>
    <t>"AMPLIACIÓN DEL ACUEDUCTO VEREDA EL CHUSCAL DEL
MUNICIPIO DE EL RETIRO, DERIVADO DEL CONTRATO
INTERADMINISTRATIVO 026 DE 2025".</t>
  </si>
  <si>
    <t>RM CONCRETAR S.A.S.
NIT 900.871.788
ROBINSON ALBERTO MUÑOZ SANCHEZ
CC 8.161.189</t>
  </si>
  <si>
    <t>“OPTIMIZACIÓN DE LOS ACUEDUCTOS VEREDALES DEL
MUNICIPIO DE EL RETIRO, DERIVADO DEL CONTRATO
INTERADMINISTRATIVO 026 DE 2025</t>
  </si>
  <si>
    <t>ENETEL S.A.S
NIT 901.060.665-2
HUGO ALBERTO ESPINAL RAMÍREZ
CC 71.753.833</t>
  </si>
  <si>
    <t>“INTERVENTORÍA TÉCNICA, ADMINISTRATIVA, FINANCIERA,
AMBIENTAL Y SOCIAL PARA PARA LA AMPLIACIÓN Y
OPTIMIZACIÓN DE LOS ACUEDUCTOS VEREDALES DEL
MUNICIPIO DE EL RETIRO, DERIVADO DEL CONTRATO
INTERADMINISTRATIVO 026 - 2025”</t>
  </si>
  <si>
    <t>INGENIERIA Y CONSTRUCCIÓN EL DIAMANTE S.A.S
JORGE DAVID CARO GUZMÁN
CC. 71.626.439</t>
  </si>
  <si>
    <t>INTERVENTORÍA TÉCNICA, ADMINISTRATIVA, FINANCIERA,
AMBIENTAL Y SOCIAL PARA LA CONSTRUCCIÓN (FASE 1) DEL
PROYECTO ‘CAMPUS PARA LA FORMACIÓN PROFESIONAL Y
EL DESARROLLO TECNOLÓGICO’ EN LA CEJA ANTIOQUIA ,
DERIVADO DEL CONTRATO INTERADMINISTRATIVO DE
ADMINISTRACIÓN DELEGADA CO1.PCCNTR.7957588 DE 2025
CELEBRADO CON EL SERVICIO NACIONAL DE APRENDIZAJE -
SENA</t>
  </si>
  <si>
    <t>INGESTRUCTURAS INGENIEROS S.A.S.
NIT 800.049.148-5
JUAN CARLOS JARAMILLO RUEDA
CC. 98.669.877</t>
  </si>
  <si>
    <t>MANTENIMIENTO PREVENTIVO Y CORRECTIVO DE LOS
ESCENARIOS DEPORTIVOS ADMINISTRADOS POR EL IMDER
DE EL RETIRO, DERIVADO DEL CONTRATO
INTERADMINISTRATIVO CI 002-2025</t>
  </si>
  <si>
    <t>CONSULTORÍA DISEÑO Y CONSTRUCCIÓN S.A.S.
NIT 900785498-7
DARÍO HERNANDO CARDONA HENAO
CC 70.288.921</t>
  </si>
  <si>
    <t>PRESTACION DE SERVICIOS EN LA EJECUCION DE LA ESTRATEGIA INSTITUCIONAL DE EDUCACION FINANCIERA DE NIÑOS, NIÑAS Y ADOLESCENTES DEL MUNICIPIO DE EL RETIRO EN EDAD ESCOLAR</t>
  </si>
  <si>
    <t>GP SOSTENIBLE S.A.S NIT 901789360-1 NATALI URREGO VARGAS CC 43.191.592</t>
  </si>
  <si>
    <t>APOYO EN LA GESTIÓN INSTITUCIONAL Y PROCESOS
ADMINISTRATIVOS DEL FONDO DE DESARROLLO SOCIAL
DEL MUNICIPIO DE EL RETIRO</t>
  </si>
  <si>
    <t>JESUS ANTONIO BEDOYA MEJIA C.C. 71.555.578</t>
  </si>
  <si>
    <t>ASESORÍA Y APOYO EN LA GESTIÓN INSTITUCIONAL
PROCESOS ADMINISTRATIVA DE LA ENTIDAD</t>
  </si>
  <si>
    <t>MARIA DEL PILAR RIOS MONTOYA C.C. 1.040.181.621</t>
  </si>
  <si>
    <t>APOYO A LA GESTIÓN INSTITUCIONAL ADMINISTRATIVA Y DE
LOGISTICA PARA EL FONDO PARA EL DESARROLLO SOCIAL DE
EL RETIRO - FONDESER</t>
  </si>
  <si>
    <t>YERALDIN RODRIGUEZ BEDOYA C.C. 1.040.183.557</t>
  </si>
  <si>
    <t>PRESTACIÓN DE SERVICIOS DE AUXILIAR CONTABLE Y
ADMINISTRATIVO PARA EL FONDO DE DESARROLLO
SOCIAL DE EL RETIRO – FONDESER.</t>
  </si>
  <si>
    <t>TATIANA MORALES SANCHEZ C.C. 1.040.183.182</t>
  </si>
  <si>
    <t>MANTENIMIENTO E INTERVENCIÓN DE LAS ZONAS HÚMEDAS
DEL MUNICIPIO DE EL RETIRO, DERIVADO DEL CONTRATО
INTERADMINISTRATIVO C.I 030-2025</t>
  </si>
  <si>
    <t>INGENIERÍAS ALBA S.A.S
NIT 900877081-5
WILSON ALEXANDER LONDOÑO ROJAS
CC 15.510.547</t>
  </si>
  <si>
    <t>Responsable</t>
  </si>
  <si>
    <t>TERMINADO</t>
  </si>
  <si>
    <t>SEGUROS</t>
  </si>
  <si>
    <r>
      <rPr>
        <b/>
        <sz val="9"/>
        <rFont val="Arial"/>
        <family val="2"/>
      </rPr>
      <t>INTERVENTORÍA</t>
    </r>
    <r>
      <rPr>
        <sz val="9"/>
        <rFont val="Arial"/>
        <family val="2"/>
      </rPr>
      <t xml:space="preserve"> TÉCNICA, ADMINISTRATIVA, FINANCIERA, AMBIENTAL Y SOCIAL PARA LA ADECUACIÓN Y REPOSICIÓN DE EQUIPOS DEL SISTEMA DE CAPTACIÓN Y TRATAMIENTO EN EL ACUEDUCTO DEL CENTRO POBLADO DEL CORREGIMIENTO EL JARDÍN TAMANA DEL MUNICIPIO DE </t>
    </r>
    <r>
      <rPr>
        <b/>
        <sz val="9"/>
        <rFont val="Arial"/>
        <family val="2"/>
      </rPr>
      <t>CÁCERES</t>
    </r>
    <r>
      <rPr>
        <sz val="9"/>
        <rFont val="Arial"/>
        <family val="2"/>
      </rPr>
      <t>, ANTIOQUIA, DERIVADO DEL CONTRATO INTERADMINISTRATIVO 002 - 2025</t>
    </r>
  </si>
  <si>
    <t>MEJORAMIENTO DE LA CAPACIDAD DE INFRAESTRUCTURA DEDICADA AL SECTOR AGROPECUARIO DEL MUNICIPIO DE EL RETIRO, DERIVADO DEL CONTRATO INTERADMINISTRATIVO C.I 031-2025</t>
  </si>
  <si>
    <t xml:space="preserve">XAVARQ S.A.S. 
NIT 901186581-4 
JUAN ALEJANDRO CUELLAR 
CC 1130643012
</t>
  </si>
  <si>
    <t>DESARROLLO DE PROYECTO DE MEJORAMIENTO AMBIENTAL, PRESERVACIÓN Y ADECUACIÓN EN EL MANEJO DE LOS RECURSOS NATURALES CON EL FIN DE CONTRIBUIR A LA SOSTENIBILIDAD DEL MUNICIPIO DE EL RETIRO, DERIVADO DEL CONTRATO INTERADMINISTRATIVO 032 DE 2025</t>
  </si>
  <si>
    <t xml:space="preserve">BRUNEL CONSTRUCTORES S.A.S.
NIT 901492206-9 
MARIA MILDRED JIMÉNEZ RESTREPO 
CC 43.415.096
</t>
  </si>
  <si>
    <t xml:space="preserve">DUCON S.A.S.
NIT 800014574-9
MATEO GOMEZ GONZALEZ
CC. 1.037.577.761
</t>
  </si>
  <si>
    <t>SUMINISTRAR EQUIPOS Y MOBILIARIO DE OFICINA QUE PERMITAN EL CUMPLIMIENTO MISIONAL DE LA ENTIDAD</t>
  </si>
  <si>
    <t>SUMINISTRO, TRANSPORTE, E INSTALACIÓN Y PUESTA EN FUNCIONAMIENTO DE SISTEMAS SÉPTICOS, EN ZONA RURAL DEL MUNICIPIO DE CÁCERES, EN MARCO DEL CONVENIO INTERADMINISTRATIVO N° 040-COV-2412-142, SUSCRITO ENTRE CORANTIOQUIA Y EL MUNICIPIO DE CÁCERES, ANTIOQUIA. Y DERIVADO DEL CONTRATO INTERADMINISTRATIVO CI 004-2025 CELEBRADO CON EL MUNICIPIO DE CACERES ANTIOQUIA</t>
  </si>
  <si>
    <t xml:space="preserve">ONZE ING. S.A.S. 
NIT 901229947-2 
MARCIA MANUELA MONSALVO CASTRO 
CC. 1.036.626.398
</t>
  </si>
  <si>
    <t>FORTALECIMIENTO DE LA SEGURIDAD LOCAL MEDIANTE LA CONSTRUCCIÓN, INSTALACIÓN Y FUNCIONAMIENTO DE UN SISTEMA DE INFRAESTRUCTURA PARA LA SEGURIDAD, DERIVADO DEL CONTRATO INTERADMINISTRATIVO DE ADMINISTRACIÓN DELEGADA CI 034 DE 2025</t>
  </si>
  <si>
    <t xml:space="preserve">INTER TELCO S.A.S. 
NIT 900382516-1, 
CLAUDIA CRISTINA BOTERO SUAREZ 
CC. 42.828.402
</t>
  </si>
  <si>
    <t>OPTIMIZACIÓN DE PLANTAS DE TRATAMIENTO DE AGUAS RESIDUALES Y MANTENIMIENTO DE LOS POZOS SÉPTICOS INSTITUCIONALES EN EL MUNICIPIO DE EL RETIRO, DERIVADO DEL CONTRATO INTERADMINISTRATIVO C.I 033-2025</t>
  </si>
  <si>
    <t>14/09/2025 - 31/10/2025</t>
  </si>
  <si>
    <t xml:space="preserve">SOLUCIONES EMPRESARIALES PV S.A.S 
NIT: 900.310.636-9 
MARYBELL JARAMILLO TEJADA 
CC. 43.050.828  
</t>
  </si>
  <si>
    <t>20/08/2025 - 20/11/2025</t>
  </si>
  <si>
    <t>MANTENIMIENTO DE LA INFRAESTRUCTURA FÍSICA DE LAS INSTALACIONES DEL FONDO DE DESARROLLO SOCIAL DEL MUNICIPIO DE EL RETIRO (FONDESER</t>
  </si>
  <si>
    <t>30/09/2025-</t>
  </si>
  <si>
    <t xml:space="preserve">SAENZA S.A.S. 
NIT 901.352.284-3 
ALEXANDER SÁENZ GUTIÉRREZ 
CC 15.448.779
</t>
  </si>
  <si>
    <t>INTERVENTORÍA TÉCNICA, ADMINISTRATIVA, FINANCIERA, AMBIENTAL Y SOCIAL PARA EL FORTALECIMIENTO DE LA SEGURIDAD LOCAL MEDIANTE LA CONSTRUCCIÓN, INSTALACIÓN Y FUNCIONAMIENTO DE UN SISTEMA DE INFRAESTRUCTURA PARA LA SEGURIDAD, DERIVADO DEL CONTRATO INTERADMINISTRATIVO 034 - 20225</t>
  </si>
  <si>
    <t xml:space="preserve">SCS CONSULTORÍA E INTERVENTORÍA DE PROYECTOS DE INGENIERÍA S.A.S. 
NIT 901155456-9 
DAVID ESTRADA GARCÍA 
CC 1.010.138.464
</t>
  </si>
  <si>
    <t>EJECUCIÓN INTEGRAL DEL PROYECTO URBANO Y ARQUITECTÓNICO DEL PARQUE LINEAL (BOSQUES URBANOS) DEL MUNICIPIO DE EL RETIRO, DERIVADO DEL CONTRATO INTERADMINISTRATIVO DE ADMINISTRACIÓN DELEGADA 035 DE 2025</t>
  </si>
  <si>
    <t xml:space="preserve">OMEGA INGENIERÍA ASOCIADOS S.A.S 
NIT 811.046.667-2, 
WILLIAM ANTONIO BALCÁZAR BOTERO 
CC. 71.652.056
</t>
  </si>
  <si>
    <t>INTERVENTORÍA TÉCNICA, ADMINISTRATIVA, FINANCIERA, AMBIENTAL Y SOCIAL PARA EJECUCIÓN INTEGRAL DEL PROYECTO URBANO Y ARQUITECTÓNICO DEL PARQUE LINEAL (BOSQUES URBANOS) DEL MUNICIPIO DE EL RETIRO, DERIVADO DEL CONTRATO INTERADMINISTRATIVO 035 - 2025</t>
  </si>
  <si>
    <t xml:space="preserve">O&amp;P CIVILES S.A.S. 
NIT 900911160 
SERGIO ANDRÉS SALAZAR AGUDELO 
CC 1.036.925.402
</t>
  </si>
  <si>
    <t>PRESTAR LOS SERVICIOS PROFESIONALES COMO INGENIERO CIVIL, RESIDENTE DE LA INTERVENTORÍA TÉCNICA Y ADMINISTRATIVA DURANTE LA CONSTRUCCIÓN DEL PROYECTO RETIRO PARK</t>
  </si>
  <si>
    <t>PABLO HERNANDO DELGADO CAICEDO C.C. 98.394.692</t>
  </si>
  <si>
    <t>PRESTAR LOS SERVICIOS PROFESIONALES COMO AUXILIAR AMBIENTAL Y SISO DE LA INTERVENTORÍA TÉCNICA Y ADMINISTRATIVA DURANTE LA CONSTRUCCIÓN DEL PROYECTO RETIRO PARK</t>
  </si>
  <si>
    <t xml:space="preserve">PAOLA ANDREA MORENO PATIÑO 
C.C. 1.152.454.282
</t>
  </si>
  <si>
    <t>MEJORAMIENTO DE VÍAS RURALES DEL MUNICIPIO DE EL RETIRO, MEDIANTE PAVIMENTO FLEXIBLE Y RÍGIDO, DERIVADO DEL CONTRATO INTERADMINISTRATIVO 036 DE 2025</t>
  </si>
  <si>
    <t xml:space="preserve">CASTELLÓN INGENIERÍA S.A.S.
NIT 900.944.024-2
SEBASTIÁN HINESTROZA ARANGO
CC 1.017.127.069
</t>
  </si>
  <si>
    <t>MEJORAMIENTO DE VÍAS RURALES DEL MUNICIPIO DE EL RETIRO, MEDIANTE PAVIMENTO RÍGIDO POR EL SISTEMA DE PLACA HUELLA, DERIVADO DEL CONTRATO INTERADMINISTRATIVO 036 DE 2025</t>
  </si>
  <si>
    <t xml:space="preserve">DINAMIC PROYECTOS E INGENIERA SAS
NIT 900.091.341-0
JHON FREDY TABARES HOYOS
CC. 3.473.972
</t>
  </si>
  <si>
    <t>EJECUCIÓN DE OBRAS PARA LA APERTURA DE VÍA RURAL EN LA VEREDA LA LUZ DEL MUNICIPIO DE EL RETIRO, DERIVADO DEL CONTRATO INTERADMINISTRATIVO 036 DE 2025</t>
  </si>
  <si>
    <t xml:space="preserve">ARQUITECTURA E INGENIERIA JECSA S.A.S.
NIT 900.960.333-0
MARIA BELEN AGUDELO PEREZ
CC. 39.432.990
</t>
  </si>
  <si>
    <t>MEJORAMIENTO DE VÍAS RURALES DEL MUNICIPIO DE EL RETIRO POR MEDIO DEL SISTEMA DE PLACA HUELLA, DERIVADO DEL CONTRATO INTERADMINISTRATIVO 036 DE 2025</t>
  </si>
  <si>
    <t xml:space="preserve">EVOLUCION CONSTRUCTIVA S.A.S. 
NIT 900.995469-4
JHON EDUAR ECHEVERRI SALAZAR
1.111.753.268
</t>
  </si>
  <si>
    <t>MANTENIMIENTO Y MEJORAMIENTO DE LA INFRAESTRUCTURA EDUCATIVA DEL MUNICIPIO DE EL RETIRO DERIVADO DEL CONTRATO INTERADMINISTRATIVO 038DE 2025</t>
  </si>
  <si>
    <t xml:space="preserve">BIOTA CONSULTING GROUP S.A.S. 
NIT 900.735.297-1 
ESTEBAN GAVIRIA GALLEGO 
CC 1.128.466.630
</t>
  </si>
  <si>
    <t>INTERVENTORÍA TÉCNICA, ADMINISTRATIVA, FINANCIERA, AMBIENTAL Y SOCIAL PARA EL MANTENIMIENTO Y MEJORAMIENTO DE LA INFRAESTRUCTURA EDUCATIVA DEL MUNICIPIO DE EL RETIRO, DERIVADO DEL CONTRATO INTERADMINISTRATIVO 038 – 2025</t>
  </si>
  <si>
    <t xml:space="preserve">PROYECTAR- ARQ S.A.S 
NIT 900586758-3
JUAN FERNANDO OCAMPO ECHAVARRIA 
CC 71.314.670
</t>
  </si>
  <si>
    <t>INTERVENTORÍA TÉCNICA, ADMINISTRATIVA, FINANCIERA, AMBIENTAL Y SOCIAL PARA EL MEJORAMIENTO DE VÍAS RURALES EN EL MUNICIPIO DE EL RETIRO, DERIVADO DEL CONTRATO INTERADMINISTRATIVO 036 - 2025</t>
  </si>
  <si>
    <t xml:space="preserve">HG INGENIERIA Y DESARROLLO S.A.S.
NIT 900497862-1 
MARCELA PATRICIA BAQUERO APONTE 
CC 1.123.731.019
</t>
  </si>
  <si>
    <t xml:space="preserve">GUTIERREZ TORRES EDWIN HELVES
C.C. 79462837-1
</t>
  </si>
  <si>
    <t>PRESTAR LOS SERVICIOS DE APOYO COMO TECNOLOGO EN OBRAS CIVILES EN EL ACOMPAÑAMIENTO Y APOYO EN LA SUPERVISIÓN E INTERVENTORÍA DE LOS CONTRATOS DE OBRA SUSCRITOS POR FONDESER CON LAS DIFERENTES ENTIDADES PÚBLICAS O PRIVADAS</t>
  </si>
  <si>
    <t>SEBASTIÁN LÓPEZ GIRALDO C.C. 1036958775</t>
  </si>
  <si>
    <t>EFECTUAR LA ACTUALIZACIÓN Y APLICACIÓN DE EVALUACIONES NEUROPSICOLÓGICAS Y VALORACIONES DE PSIQUIATRÍA A LA POBLACIÓN DE LAS INSTITUCIONES EDUCATIVAS OFICIALES DEL MUNICIPIO DE EL RETIRO DERIVADO DEL CONTRATO INTERADMINISTRATIVO 039-2025</t>
  </si>
  <si>
    <t xml:space="preserve">NEUROVID - CENTRO DE EVALUACION Y RE-HABILITACION NEUROPSICOLOGICA S.A.S 
NIT 9 00704804-1
JOSE ANDRES GOMEZ MARIN
C.C. No. 15.442.582
</t>
  </si>
  <si>
    <t>JUAN DAVID ARBOLEDA RIOS C.C. 1.040.036.151</t>
  </si>
  <si>
    <t>EJECUCIÓN DEL PROYECTO DE INSTALACIÓN, MANTENIMIENTO, REPOSICIÓN Y ADECUACIÓN DE LA SEÑALIZACIÓN VIAL (VERTICAL Y HORIZONTAL) DE LA RED VIAL URBANA Y RURAL DEL MUNICIPIO DE EL RETIRO DERIVADO DEL CONTRATO INTERADMINISTRATIVO 040-2025</t>
  </si>
  <si>
    <t xml:space="preserve">O.B.R.A INGENIERÍA Y ARQUITECTURA S.A.S 
NIT 901379096-2
PEDRO ANDRÉS OCAMPO PÉREZ
CC 1.040.032.921
</t>
  </si>
  <si>
    <t>PRESTACIÓN DE SERVICIOS DE AUXILIAR CONTABLE Y ADMINISTRATIVO PARA EL FONDO DE DESARROLLO SOCIAL DE EL RETIRO – FONDESER.</t>
  </si>
  <si>
    <t>LUZ ESTELLA ROJAS PULGARIN C.C. 21.954.914</t>
  </si>
  <si>
    <t>PRESTACIÓN DE SERVICIOS DE APOYO A LA GESTIÓN COMERCIAL Y ADMINISTRATIVA PARA EL FONDO DE DESARROLLO SOCIAL DE EL RETIRO – FONDESER.</t>
  </si>
  <si>
    <t>PRESTAR LOS SERVICIOS PROFESIONALES COMO INGENIERO CIVIL EN EL ACOMPAÑAMIENTO Y APOYO EN LA SUPERVISIÓN E INTERVENTORÍA DE LOS CONTRATOS DE OBRA SUSCRITOS POR FONDESER CON LAS DIFERENTES ENTIDADES PÚBLICAS O PRIVADAS</t>
  </si>
  <si>
    <t>CARLOS ANDRES GOMEZ VERGARA C.C. 15.373.375</t>
  </si>
  <si>
    <t>LOGÍSTICA PARA EL FORTALECIMIENTO DE LAS JUNTAS DE ACCIÓN COMUNAL Y DEMÁS ORGANIZACIONES SOCIALES DEL MUNICIPIO DE EL RETIRO, POR MEDIO DEL PRESUPUESTO PARTICIPATIVO ACORDADO PARA EL AÑO 2025 DERIVADO DEL CONTRATO INTERADMINISTRATIVO 042-2025 CELEBRADO CON EL MUNICIPIO DEL RETIRO</t>
  </si>
  <si>
    <t>SERVICIOS LOGISITICOS Y DE GESTION</t>
  </si>
  <si>
    <t xml:space="preserve">SERVISUMINISTROS JP S.A.S
NIT 901477948-2
CARLOS FELIPE RIOS GARCIA 
CC.1.040.183.238
</t>
  </si>
  <si>
    <t>Pilar</t>
  </si>
  <si>
    <t>INTERVENCIÓN Y MANTENIMIENTO DE VÍAS TERCIARIAS EN EL MUNICIPIO DE CÁCERES-ANTIOQUIA</t>
  </si>
  <si>
    <t xml:space="preserve">CONSTRUCTORA MANSORY SAS
NIT 901.864.131-2
BEATRIZ ELENA GARCIA FERNANDEZ
C.C. 57.438.285
</t>
  </si>
  <si>
    <t>MANTENIMIENTO Y ADECUACIÓN GENERAL DEL PARQUE EDUCATIVO “LA GRAN CASA”, DEL MUNICIPIO DE CÁCERES – DEPARTAMENTO DE ANTIOQUIA</t>
  </si>
  <si>
    <t xml:space="preserve">INNOVA CONSTRUCCIONES IT S.A.S 
NIT 901.917.677-0 
LUIS MANUEL CONDE MURILLO 
CC. 1.036.132.497
</t>
  </si>
  <si>
    <t>LIQUIDADO</t>
  </si>
  <si>
    <t>Enero - Octubre 2025</t>
  </si>
  <si>
    <t>067-2025</t>
  </si>
  <si>
    <t>085-2025</t>
  </si>
  <si>
    <t>086-2025</t>
  </si>
  <si>
    <t>090-2025</t>
  </si>
  <si>
    <t>065-2025</t>
  </si>
  <si>
    <t>066-2025</t>
  </si>
  <si>
    <t>068-2025</t>
  </si>
  <si>
    <t>069-2025</t>
  </si>
  <si>
    <t>070-2025</t>
  </si>
  <si>
    <t>071-2025</t>
  </si>
  <si>
    <t>072-2025</t>
  </si>
  <si>
    <t>073-2025</t>
  </si>
  <si>
    <t>074-2025</t>
  </si>
  <si>
    <t>075-2025</t>
  </si>
  <si>
    <t>076-2025</t>
  </si>
  <si>
    <t>077-2025</t>
  </si>
  <si>
    <t>078-2025</t>
  </si>
  <si>
    <t>079-2025</t>
  </si>
  <si>
    <t>080-2025</t>
  </si>
  <si>
    <t>081-2025</t>
  </si>
  <si>
    <t>082-2025</t>
  </si>
  <si>
    <t>083-2025</t>
  </si>
  <si>
    <t>088-2025</t>
  </si>
  <si>
    <t>089-2025</t>
  </si>
  <si>
    <t>084-2025</t>
  </si>
  <si>
    <t>087-2025</t>
  </si>
  <si>
    <t>Enero - Diciembre 2025</t>
  </si>
  <si>
    <t>sigue igual</t>
  </si>
  <si>
    <t xml:space="preserve">PRESTAR EL SERVICIO DE ASEO INSTITUCIONAL AL INTERIOR DE LAS INSTALACIONES DE FONDESER
</t>
  </si>
  <si>
    <t xml:space="preserve">INTERADMINISTRATIVO DE PRESTACION DE SERVICIOS </t>
  </si>
  <si>
    <t xml:space="preserve">RETIRAR S.A. E.S.P. NIT 811028985-3
YEIDER ALEXANDER RINCÓN BENJUMEA 
</t>
  </si>
  <si>
    <t>CONTRATO DE PRESTACIÓN DE SERVICIOS PARA REALIZAR PUBLICIDAD Y DIFUSIÓN DE CONTENIDOS RELACIONADAS CON LA GESTIÓN INSTITUCIONAL QUE ADELANTE LA ENTIDAD</t>
  </si>
  <si>
    <t xml:space="preserve">REVISTA EL CONGRESO SIGLO XXI S.A.S.
NIT 830067096 6
ALVARO JAVIER ERASO PAZ 
C.C. 19097538
</t>
  </si>
  <si>
    <t>EJECUTAR LAS OBRAS PARA UN ESPACIO PÚBLICO ASOCIADO A TURISMO SOSTENIBLE EN EL MUNICIPIO DE BARBOSA, CORREGIMIENTO EL HATILLO, DERIVADO DEL CONTRATO INTERADMINISTRATIVO 326 DE 2025</t>
  </si>
  <si>
    <t xml:space="preserve">DINAMIC PROYECTOS E INGENIERIA SAS 
NIT 900091341-0
JHON FREDY TABARES HOYOS 
CC. 3.473.972
</t>
  </si>
  <si>
    <t>CONTRATO DE OBRA</t>
  </si>
  <si>
    <t>INTERVENTORÍA TÉCNICA, ADMINISTRATIVA, FINANCIERA, AMBIENTAL Y SOCIAL PARA LA EJECUCION DE LAS OBRAS PARA UN ESPACIO PÚBLICO ASOCIADO A TURISMO SOSTENIBLE EN EL MUNICIPIO DE BARBOSA, CORREGIMIENTO EL HATILLO, DERIVADO DEL CONTRATO INTERADMINISTRATIVO 326 DE 2025</t>
  </si>
  <si>
    <t xml:space="preserve">INCOMAZ PROYECTOS S.A.S.
NIT 901602921-0
SANDRA ISABEL LOPEZ TABARES 
CC. 43.977.019 
</t>
  </si>
  <si>
    <t>CONSTRUCCIÓN DE “CASA DE TODOS” DEL MUNICIPIO DE EL RETIRO, ANTIOQUIA, DERIVADO DEL CONTRATO INTERADMINISTRATIVO CI 044 DE 2025</t>
  </si>
  <si>
    <t xml:space="preserve">FIRMA INGENIERIA Y ARQUITECTURA S.A.S. 
NIT 900.376.982-6 
JUAN DIEGO MEJIA VALLEJO 
CC. 71.793.619
</t>
  </si>
  <si>
    <t>SUMINISTRO E INSTALACION DE CABLEADO ESTRUCTURADO PARA REDES Y SERVIDOR DE ENTRADA QUE PERMITA EL FUNCIONAMIENTO DE LABORES EN LA ENTIDAD</t>
  </si>
  <si>
    <t xml:space="preserve">SANTIAGO GIRALDO AGUDELO
CC. 1.036.943.595
</t>
  </si>
  <si>
    <t>CONTRATO DE SUMINSTRO</t>
  </si>
  <si>
    <t>MANTENIMIENTO Y ADECUACION GENERAL DE LA INSTITUCION EDUCATIVA RURAL LAS FRIAS SEDE LAS VICTORIAS, DEL MUNICIPIO, DE CACERES DEPARTAMENTO DE ANTIOQUIA, DERIVADO DEL CONTRATO INTERADMINISTRATIVO CI 008-2025</t>
  </si>
  <si>
    <t>MANTENIMIENTO Y RESTAURACIÓN DE LOS ELEMENTOS EN MADERA DE LA CASA DE GOBIERNO DEL MUNICIPIO DE EL RETIRO, DERIVADO DEL CONTRATO INTERADMINISTRATIVO C.I 075-2025</t>
  </si>
  <si>
    <t xml:space="preserve">RAMÓN ANTONIO RAMÍREZ BOTERO
CC. 71.556.101
</t>
  </si>
  <si>
    <t>PROMOVER LA CONSERVACIÓN Y RECUPERACIÓN DE LOS RECURSOS NATURALES BAJO LA METODOLOGÍA PRISER MEDIANTE LA ESTRATEGIA “ACUEDUCTOS VEREDALES SOSTENIBLES (AVES)” EN LA VEREDA CARRIZALES PARTE BAJA DEL MUNICIPIO DE EL RETIRO DERIVADO DEL CONTRATO INTERADMINISTRATIVO 073 DE 2025</t>
  </si>
  <si>
    <t xml:space="preserve">ASOCIACION DE USUARIOS DEL ACUEDUCTO CARRIZALES BAJO EL VENTIADERO NIT: 811.045.612-3
EDGAR ALFONSO SANCHEZ ROSADO
CC 98.619.527
</t>
  </si>
  <si>
    <t>ADELANTAR ACCIONES PARA PROMOVER LA CONSERVACIÓN Y RECUPERACIÓN DE LOS RECURSOS NATURALES BAJO LA METODOLOGÍA PRISER MEDIANTE LA ESTRATEGIA “ACUEDUCTOS VEREDALES SOSTENIBLES (AVES)” EN LA VEREDA EL CHUSCAL DEL MUNICIPIO DE EL RETIRO DERIVADO DEL CONTRATO INTERADMINISTRATIVO 073 DE 2025</t>
  </si>
  <si>
    <t>31712/2025</t>
  </si>
  <si>
    <t xml:space="preserve">ASOCIACION DE USUARIOS DEL ACUEDUCTO EL CHUSCAL 
NIT: 811.042.226-1
LUIS GERMAN VALLEJO ROMÁN
CC 15.381.701
</t>
  </si>
  <si>
    <t xml:space="preserve">CONTRATO DE OBRA </t>
  </si>
  <si>
    <t>EJECUCIÓN DE LOS DIFERENTES PROYECTOS PARA LA DOTACION Y ACTUALIZACION DE EQUIPOS Y A LA CONSTRUCCION Y/O MANTENIMIENTO DE LAS SESTRUCTURAS DE LAS SEDES DEL CENTRO DE LA INNOVACIÓN, LA AGROINDUSTRIA Y LA AVIACIÓN DEL SENA, REGIONAL ANTIOQUIA, DERIVADO DEL CONTRATO INTERADMINISTRATIVO CO1.PCCNTR.8553570 DE 2025</t>
  </si>
  <si>
    <t xml:space="preserve">INVERSIONES Y ASESORIAS J Y M S.A.S. 
NIT 901686448-8 
LUISA FERNANDA RAMIREZ ZULUAGA 
CC. 1.036.946.726
</t>
  </si>
  <si>
    <t>INTERVENTORÍA TÉCNICA, ADMINISTRATIVA, FINANCIERA, AMBIENTAL Y SOCIAL PARA LA EJECUCION DE LA CONSTRUCCIÓN DE “CASA DE TODOS” DEL MUNICIPIO DE EL RETIRO, ANTIOQUIA, DERIVADO DEL CONTRATO INTERADMINISTRATIVO CI 044 DE 2025</t>
  </si>
  <si>
    <t xml:space="preserve">REDES DISEÑO Y CONSTRUCCIÓN S.A.S.
NIT 900.430.359-8 
GLORIA MARCELA VALLEJO FLÓREZ 
CC 39.189.537
</t>
  </si>
  <si>
    <t xml:space="preserve">CONTRATP DE INTERVENTORIA </t>
  </si>
  <si>
    <t>PRESTAR EL SERVICIO DE APOYO LOGISTICO EN EL FORTALECIMIENTO A LOS PROGRAMAS DE ATENCIÓN INTEGRAL PARA EL BIENESTAR DE LAS PERSONAS MAYORES EN EL MUNICIPIO CÁCERES</t>
  </si>
  <si>
    <t xml:space="preserve">CONTRATO DE SERIVIVIOS LOGISTICOS Y DEGESTION </t>
  </si>
  <si>
    <t xml:space="preserve">FUNDACION SOCIALTECH LATAM 
NIT 901896526-5 
JUAN FRANCISCO DAZA GARCIA 
CC. 1.010.057.455
</t>
  </si>
  <si>
    <t>CONSTRUCCIÓN DE MURO DE CONTENCIÓN PARA LA ATENCIÓN DEL PUNTOS CRÍTICOS EN LAS VÍAS TERCIARIAS DEL MUNICIPIO DE EL RETIRO, DERIVADO DEL CONTRATO INTERADMINISTRATIVO CI 071 DE 2025</t>
  </si>
  <si>
    <t xml:space="preserve">INVITACION UNICA </t>
  </si>
  <si>
    <t xml:space="preserve">LG INGENIERÍA Y CONSTRUCCIONES S.A.S. 
NIT 901.061.932-9 
LAURA CAMILA GÓMEZ GÓMEZ
CC. 1.007.346.720
</t>
  </si>
  <si>
    <t>INTERVENTORÍA TÉCNICA, ADMINISTRATIVA, FINANCIERA, AMBIENTAL Y SOCIAL PARA LA CONSTRUCCIÓN DE MURO DE CONTENCIÓN PARA LA ATENCIÓN DEL PUNTO CRÍTICO EN LAS VÍAS TERCIARIAS DEL MUNICIPIO DE EL RETIRO, DERIVADO DEL CONTRATO INTERADMINISTRATIVO CI 071 DE 2025</t>
  </si>
  <si>
    <t xml:space="preserve">CONSTRUCTORA CELEC S.A.S. 
NIT 901.041.235-8 
VIVIANA PAOLA MONTOYA ZULUAGA 
CC. 1.036.937.375
</t>
  </si>
  <si>
    <t>CONTRATO DE INTERVENTORIA</t>
  </si>
  <si>
    <t xml:space="preserve"> ADECUACIÓN DE LA UNIDAD DEPORTIVA "RIBERAS" DEL MUNICIPIO DE EL RETIRO DERIVADO DEL CONTRATO INTERADMINISTRATIVO CI 076-2025</t>
  </si>
  <si>
    <t xml:space="preserve">PSPORT SYSTEMS S.A.S.
NIT 900.241.305-1 
PEDRO DANIEL SARMIENTO LOPEZ 
CC. 16.917.676
</t>
  </si>
  <si>
    <t>A PARTIR DE LA SUSCRIPCIÓN DEL ACTA DE INICIO Y QUINCE (15) DIAS MAS</t>
  </si>
  <si>
    <t>A PARTIR DE LA SUSCRIPCIÓN DEL ACTA DE INICIO PREVIA APROBACIÓN DE LAS PÓLIZAS DE GARANTÍAS ÚNICAS DEL CONTRATO Y CINCO (5) MESES MÁS</t>
  </si>
  <si>
    <t>2795480*6</t>
  </si>
  <si>
    <t xml:space="preserve">terminado por tiempo </t>
  </si>
  <si>
    <t>OJO Q ESTE NO ME APERECE EN CARPETAS</t>
  </si>
  <si>
    <r>
      <t xml:space="preserve">YERALDIN RODRIGUEZ BEDOYA </t>
    </r>
    <r>
      <rPr>
        <sz val="10"/>
        <rFont val="Arial"/>
        <family val="2"/>
      </rPr>
      <t>C.C. 1.040.183.557</t>
    </r>
  </si>
  <si>
    <t>Analizado el contrato en su etapa de ejecucion se observa que a la fecha presenta todos pagos que corresponden al valor total del contrato, por lo tanto el contrato se encuentra ejecutado faltando las actas de terminacion y/o liquidacion                                                                                                                                        *Revisado por Control Interno entre el 13/02/2026 al 16/02/2026 *</t>
  </si>
  <si>
    <t>Analizado el contrato en su etapa de ejecucion se observa que a la fecha presenta todos pagos que corresponden al valor total del contrato, por lo tanto el contrato se encuentra ejecutado faltando las actas de terminacion y/o liquidacion                                                                                                                                        *Revisado por Control Interno entre el 13/02/2026 al 16/02/2026*</t>
  </si>
  <si>
    <t xml:space="preserve">Analizado el contrato en su etapa de ejecucion se observa que a la fecha presenta 6 pagos segun comprobantes de egreso No 2025-00077 de feb 17 de 2025, No 2025-00112 de mar 04 de 2025,  No 2025-00152 de mar 28 de 2025,  No 2025-00221 de abr 30 de 2025,  No 2025-00294 de may 30 de 2025, No 2025-00353 de jun 27 de 2025 cada uno de ellos por un valor de ($ 6,841,250), para un total de  ($41,047,500). EL contrato se encuentra terminado y  cuenta con acta de terminacion y/o liquidacion 10/09/2025                                                                                                                                   Revisado por Control Interno entre el 13/02/2026 al 16/02/2026 </t>
  </si>
  <si>
    <t xml:space="preserve">Analizado el contrato en su etapa de ejecucion se observa que a la fecha presenta 6 pagos segun comprobantes de egreso No 2025-00064 de feb 11 de 2025, No 2025-00110 de mar 04 de 2025,  No 2025-00150 de mar 28 de 2025,  No 2025-00223 de abr 30 de 2025,  No 2025-00295 de may 30 de 2025, No 2025-00351 de jun 27 de 2025 cada uno de ellos por un valor de ($ 4,955,170), para un total de  ($29,731,020). EL contrato se encuentra terminado y  cuenta con acta de terminacion y/o liquidacion 12/09/2025                                                                                                                                   Revisado por Control Interno entre el 13/02/2026 al 16/02/2026                                                                                                                                      </t>
  </si>
  <si>
    <t xml:space="preserve">Analizado el contrato en su etapa de ejecucion se observa que a la fecha presenta 6 pagos segun comprobantes de egreso No 2025-00063 de feb 11 de 2025, No 2025-00111 de mar 04 de 2025,  No 2025-00151 de mar 28 de 2025,  No 2025-00222 de abr 30 de 2025,  No 2025-00293 de may 30 de 2025, No 2025-00352 de jun 27 de 2025 cada uno de ellos por un valor de ($ 5,4203,375), para un total de  ($32,522,250). EL contrato se encuentra terminado y cuenta con acta de terminacion y/o liquidacion 12/09/2025                                                                                                                                     Revisado por Control Interno entre el 13/02/2026 al 16/02/2026                                                                                                                                    </t>
  </si>
  <si>
    <t>Analizado el contrato en su etapa de ejecucion se observa que a la fecha presenta 6 pagos segun comprobantes de egreso No 2025-00032 de ene 30 de 2025, No 2025-00097 de feb 28 de 2025,  No 2025-00155 de mar 28 de 2025,  No 2025-00216 de abr 30 de 2025,  No 2025-00296 de may 30 de 2025, No 2025-00348 de jun 27 de 2025 cada uno de ellos por un valor de ($ 3,400,000), para un total de  ($18,700,000). EL contrato se encuentra terminado y cuenta con acta de terminacion y/o liquidacion 12/09/2025                                                                                                                                  Revisado por Control Interno entre el 13/02/2026 al 16/02/2026</t>
  </si>
  <si>
    <t>Analizado el contrato en su etapa de ejecucion se observa que a la fecha presenta 5 pagos segun comprobantes de egreso No 2025-00059 de feb 04 de 2025, No 2025-00096 de feb 28 de 2025,  No 2025-00147 de mar 28 de 2025,  No 2025-00217 de abr 30 de 2025,  No 2025-00301 de may 30 de 2025, No 2025-00344 de jun 27 de 2025 cada uno de ellos por un valor de ($ 2,795,480), para un total de  ($15,375,140).  EL contrato se encuentra terminado y cuenta con acta de terminacion y/o liquidacion 12/09/2025                                                                                                                                        Revisado por Control Interno entre el 13/02/2026 al 16/02/2026</t>
  </si>
  <si>
    <t>Analizado el contrato en su etapa de ejecucion se observa que a la fecha presenta 6 pagos segun comprobantes de egreso No 2025-00031 de ene 30 de 2025, No 2025-00094 de feb 28 de 2025,  No 2025-00153 de mar 28 de 2025,  No 2025-00224 de abr 30 de 2025,  No 2025-00303 de may 30 de 2025, No 2025-00350 de jun 27 de 2025 cada uno de ellos por un valor de ($ 3,820,574), para un total de  ($21,013,162). EL contrato se encuentra terminado y cuenta con acta de terminacion y/o liquidacion 12/09/2025                                                                                                                                      Revisado por Control Interno entre el 13/02/2026 al 16/02/2026</t>
  </si>
  <si>
    <t>Analizado el contrato en su etapa de ejecucion se observa que a la fecha presenta 6 pagos segun comprobantes de egreso No 2025-00060 de ene 30 de 2025, No 2025-00093 de feb 28 de 2025,  No 2025-00149 de mar 28 de 2025,  No 2025-00218 de abr 30 de 2025,  No 2025-00299 de may 30 de 2025, No 2025-00346 de jun 27 de 2025 cada uno de ellos por un valor de ($ 2,416,119), para un total de  ($12,885,968). EL contrato se encuentra terminado y cuenta con acta de terminacion y/o liquidacion 22/09/2025                                                                                                                                       Revisado por Control Interno entre el 13/02/2026 al 16/02/2026</t>
  </si>
  <si>
    <t>Analizado el contrato en su etapa de ejecucion se observa que a la fecha presenta 5 pagos segun comprobantes de egreso No 2025-00095 de feb 28 de 2025, No 2025-00148 de mar 28 de 2025,  No 2025-00212 de abr 30 de 2025, No 2025-00300 de may 30 de 2025, No 2025-00345 de jun 27 de 2025 cada uno po run valor de ($2,795,480) para un total de  ($13,977,400). EL contrato se encuentra terminado y cuenta con acta de terminacion y/o liquidacion 12/09/2025                                                                                                                                        Revisado por Control Interno entre el 13/02/2026 al 16/02/2026</t>
  </si>
  <si>
    <t>Analizado el contrato en su etapa de ejecucion se observa que a la fecha presenta 5 pagos segun comprobantes de egreso No 2025-00145 de mar 28 de 2025, No 2025-00220 de abr 30 de 2025,  No 2025-00297 de may 30 de 2025, No 2025-00347 de jun 27 de 2025, No 2025-00431 de jul 30 de 2025, No 2025-00494 de 29 de ags de 2025 cada uno po run valor de ($2,400,000) para un total de  ($14,400,000), el contrato se encuentra terrminado y ejecutado, y cuenta con acta de terminacion y/o liquidacion 12/09/2025                                                                                                                                       Revisado por Control Interno entre el 13/02/2026 al 16/02/2026</t>
  </si>
  <si>
    <t>Analizado el contrato en su etapa de ejecucion se observa que a la fecha presenta 6 pagos segun comprobantes de egreso No  2025-00154 de mar 28 de 2025, No 2025-00219 de abr 30 de 2025,  No 2025-00298 de may 30 de 2025, No 2025-00370 de jul 01 de 2025, No 2025-00430 de jul 30 de 2025, No 2025-00483 de 29 de ags de 2025 cada uno por un valor de ($3,000,000) para un total de  ($16,500,000)                                                                                                                                       Revisado por Control Interno entre el 13/02/2026 al 16/02/2026</t>
  </si>
  <si>
    <t xml:space="preserve">Analizado el contrato en su etapa de ejecución se observa que a la fecha presenta los pagos de acuerdo a su ejecución que se encuentran plasmados en la columna ( valor ejecutado O) y a su fecha de finalización. El contrato se encuentra vencido en términos de ejecución pero se percibe que tiene un saldo aun vigente. Pendiente el acta de terminación y/o liquidación                                                                                                                                                   Revisado por Control Interno entre el 13/02/2026 al 16/02/2026 </t>
  </si>
  <si>
    <t>Analizado el contrato en su etapa de ejecucion se observa que a la fecha presenta 8 pagos segun comprobantes de egreso No 2025-00144 de mar 28 de 2025, No 2025-00213 de abr 30 de 2025,  No 2025-00238 de may 09 de 2025, No 2025-00342 de jun 27 de 2025, No 2025-00423 de jul 29 de 2025, No 2025-00486 de 29 de ags de 2025, No 2025-00571 de 30 de sep de 2025, No 2025-00641 de 30 de oct de 2025 cada uno po run valor de ($578,875) para un total de  ($4,631,000)                                                                                                                                       *Revisado por Control Interno entre el 13/02/2026 al 16/02/2026 *</t>
  </si>
  <si>
    <t>Analizado el contrato en su etapa de ejecucion se observa que a la fecha presenta 9 pagos segun comprobantes de egreso No 2025-00109 de mar 04 de 2025, No 2025-00146 de mar 28 de 2025,  No 2025-00215 de abr 30 de 2025, No 2025-00302 de may 30 de 2025, No 2025-00349 de jun 27 de 2025, No 2025-00424 de jul 29 de 2025, No 2025-00487 de 29 de ags de 2025, No 2025-00570 de 30 de sep de 2025, No 2025-00642 de 30 de oct de 2025 para un total de  ($37,557,013,58)                                                                                                                                       *Revisado por Control Interno entre el 13/02/2026 al 16/02/2026 *</t>
  </si>
  <si>
    <t xml:space="preserve">Analizado el contrato en su etapa de ejecucion se observa que a la fecha presenta 3 pago segun comprobantes de egreso 5, No 2025-00271 de may 23 de 2025, No 2025-00381 de jul 10 de 2025, No 2025-00382 de jul 10 de 2025 por un valor total de ($51,760,197). EL contrato se encuentra terminado y a la fecha de revision no cuenta con acta de terminacion y/o liquidacion                                                                                                                                       Revisado por Control Interno entre el 13/02/2026 al 16/02/2026                                                                                                                                       </t>
  </si>
  <si>
    <t xml:space="preserve">Analizado el contrato en su etapa de ejecucion se observa que a la fecha presenta 5 pagos segun comprobantes de egreso No  2025-00186 de abr 15 de 2025, No 2025-00258 de may 15 de 2025,  No 2025-00286 de may 29 de 2025, No 2025-00387 de jul 15 de 2025, No 2025-00343 de jul 30 de 2025, cada uno po run valor de ($122,500,000) para un total de  ($612,500,000). El contrato cuenta con un acta de termnacion anticipada por mutuo acuerdo 29/08/2025                                                                                                                                     Revisado por Control Interno entre el 13/02/2026 al 16/02/2026 </t>
  </si>
  <si>
    <t>Analizado el contrato en su etapa de ejecucion se observa que a la fecha presenta 1 pago segun comprobantes de egreso 5, No 2025-00242 demay 09 de 2025 por un valor total de ($33,332,936)                                                                                                                                        *Revisado por Control Interno entre el 13/02/2026 al 16/02/2026 *</t>
  </si>
  <si>
    <t xml:space="preserve">Analizado el contrato en su etapa de ejecucion se observa que a la fecha presenta 1 pago segun comprobantes de egreso, No 2025-00329 de jun 26 de 2025 por un valor total de ($118,653,191). EL contrato se encuentra terminado y a la fecha de revision no cuenta con acta de terminacion y/o liquidacion                                                                                                                                       Revisado por Control Interno entre el 13/02/2026 al 16/02/2026      </t>
  </si>
  <si>
    <t xml:space="preserve">Analizado el contrato en su etapa de ejecucion se observa que a la fecha presenta 2 pagos segun comprobante de egreso No 2025-00379 de jul 10 de 2025, No 2025-00380 de jul 10 de 2025 por un valor de ($190,180,728). Se eviencia un otro si con adicion de ($95,225,730).  El contrato se encuentra terminado y se cuenta con el acta de recibo de la obra en la que se garantiza la ejecución 100% física de las actividades y obras contratadas.                                                                                                                                                    Revisado por Control Interno entre el 13/02/2026 al 16/02/2026 </t>
  </si>
  <si>
    <t>Analizado el contrato en su etapa precontractual y contractual cumple con los requisitos de tipo legal plasmados en la Lista De Chequeo, la publicación en gestión transparente de la CGA y en SECOP II. A la fecha de esta revision aun no presenta ningun pago, y presenta un otro si donde se prorroga el plazo hasta el 20/11/2025                                                                                                                                                              *Revisado por Control Interno entre el 13/02/2026 al 16/02/2026 *</t>
  </si>
  <si>
    <t>Analizado el contrato en su etapa precontractual y contractual cumple con los requisitos de tipo legal plasmados en la Lista De Chequeo, la publicación en gestión transparente de la CGA y en SECOP II. A la fecha de esta revision aun no presenta ningun pago                                                                                                                                                               *Revisado por Control Interno entre el 13/02/2026 al 16/02/2026 *</t>
  </si>
  <si>
    <t>Analizado el contrato en su etapa precontractual y contractual cumple con los requisitos de tipo legal plasmados en la Lista De Chequeo, la publicación en gestión transparente de la CGA y en SECOP II. A la fecha de esta revision un pago por $3.000.000 con comprobante de egreso No 2025-00567                                                                                                                                                            *Revisado por Control Interno entre el 13/02/2026 al 16/02/2026 *</t>
  </si>
  <si>
    <t>Analizado el contrato en su etapa precontractual y contractual cumple con los requisitos de tipo legal plasmados en la Lista De Chequeo, la publicación en gestión transparente de la CGA y en SECOP II. A la fecha de esta revision un pago por $3.000.000 con comprobante de egreso No 2025-00565                                                                                                                                                          *Revisado por Control Interno entre el 13/02/2026 al 16/02/2026 *</t>
  </si>
  <si>
    <t>Analizado el contrato en su etapa precontractual y contractual cumple con los requisitos de tipo legal plasmados en la Lista De Chequeo, la publicación en gestión transparente de la CGA y en SECOP II. A la fecha de esta revision  presenta pagos los pagos pertinenestes para su avance de ejecucion y es el valor que aparece en la (columna O valor ejecutado)                                                                                                                                                               *Revisado por Control Interno entre el 13/02/2026 al 16/02/2026 *</t>
  </si>
  <si>
    <t>001-2025</t>
  </si>
  <si>
    <t>003-2025</t>
  </si>
  <si>
    <t>004-2025</t>
  </si>
  <si>
    <t>005-2025</t>
  </si>
  <si>
    <t>006-2025</t>
  </si>
  <si>
    <t>008-2025</t>
  </si>
  <si>
    <t>009-2025</t>
  </si>
  <si>
    <t>010-2025</t>
  </si>
  <si>
    <t>011-2025</t>
  </si>
  <si>
    <t>012-2025</t>
  </si>
  <si>
    <t>013-2025</t>
  </si>
  <si>
    <t>014-2025</t>
  </si>
  <si>
    <t>015-2025</t>
  </si>
  <si>
    <t>016-2025</t>
  </si>
  <si>
    <t>020-2025</t>
  </si>
  <si>
    <t>021-2025</t>
  </si>
  <si>
    <t>025-2025</t>
  </si>
  <si>
    <t>026-2025</t>
  </si>
  <si>
    <t>037-2025</t>
  </si>
  <si>
    <t>043-2025</t>
  </si>
  <si>
    <t>091-2025</t>
  </si>
  <si>
    <t>092-2025</t>
  </si>
  <si>
    <t>097-2025</t>
  </si>
  <si>
    <t>101-2025</t>
  </si>
  <si>
    <t>002-2025</t>
  </si>
  <si>
    <t>007-2025</t>
  </si>
  <si>
    <t>023-2025</t>
  </si>
  <si>
    <t>024-2025</t>
  </si>
  <si>
    <t>027-2025</t>
  </si>
  <si>
    <t>028-2025</t>
  </si>
  <si>
    <t>030-2025</t>
  </si>
  <si>
    <t>032-2025</t>
  </si>
  <si>
    <t>034-2025</t>
  </si>
  <si>
    <t>035-2025</t>
  </si>
  <si>
    <t>036-2025</t>
  </si>
  <si>
    <t>038-2025</t>
  </si>
  <si>
    <t>039-2025</t>
  </si>
  <si>
    <t>040-2025</t>
  </si>
  <si>
    <t>041-2025</t>
  </si>
  <si>
    <t>094-2025</t>
  </si>
  <si>
    <t>095-2025</t>
  </si>
  <si>
    <t>017-2025</t>
  </si>
  <si>
    <t>018-2025</t>
  </si>
  <si>
    <t>019-2025</t>
  </si>
  <si>
    <t>022-2025</t>
  </si>
  <si>
    <t>029-2025</t>
  </si>
  <si>
    <t>031-2025</t>
  </si>
  <si>
    <t>033-2025</t>
  </si>
  <si>
    <t>042-2025</t>
  </si>
  <si>
    <t>093-2025</t>
  </si>
  <si>
    <t>096-2025</t>
  </si>
  <si>
    <t>108-2025</t>
  </si>
  <si>
    <t>098-2025</t>
  </si>
  <si>
    <t>099-2025</t>
  </si>
  <si>
    <t>100-2025</t>
  </si>
  <si>
    <t>102-2025</t>
  </si>
  <si>
    <t>103-2025</t>
  </si>
  <si>
    <t>104-2025</t>
  </si>
  <si>
    <t>105-2025</t>
  </si>
  <si>
    <t>106-2025</t>
  </si>
  <si>
    <t>107-2025</t>
  </si>
  <si>
    <t>109-2025</t>
  </si>
  <si>
    <t>110-2025</t>
  </si>
  <si>
    <t>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</si>
</sst>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 #,##0.00;[Red]\-&quot;$&quot;\ #,##0.00"/>
    <numFmt numFmtId="44" formatCode="_-&quot;$&quot;\ * #,##0.00_-;\-&quot;$&quot;\ * #,##0.00_-;_-&quot;$&quot;\ * &quot;-&quot;??_-;_-@_-"/>
    <numFmt numFmtId="164" formatCode="yyyy\-mm\-dd"/>
    <numFmt numFmtId="165" formatCode="_(* #,##0.00_);_(* \(#,##0.00\);_(* &quot;-&quot;??_);_(@_)"/>
    <numFmt numFmtId="166" formatCode="000000000"/>
  </numFmts>
  <fonts count="16">
    <font>
      <sz val="11"/>
      <color theme="1"/>
      <name val="Aptos Narrow"/>
      <family val="2"/>
      <scheme val="minor"/>
    </font>
    <font>
      <sz val="11"/>
      <color theme="1"/>
      <name val="Aptos Narrow"/>
      <family val="2"/>
      <scheme val="minor"/>
    </font>
    <font>
      <sz val="10"/>
      <name val="Arial"/>
      <family val="2"/>
    </font>
    <font>
      <sz val="11"/>
      <name val="Arial"/>
      <family val="2"/>
    </font>
    <font>
      <sz val="9"/>
      <name val="Arial"/>
      <family val="2"/>
    </font>
    <font>
      <b/>
      <sz val="11"/>
      <name val="Arial"/>
      <family val="2"/>
    </font>
    <font>
      <sz val="12"/>
      <name val="Aptos Narrow"/>
      <family val="2"/>
      <scheme val="minor"/>
    </font>
    <font>
      <b/>
      <sz val="12"/>
      <name val="Aptos Narrow"/>
      <family val="2"/>
      <scheme val="minor"/>
    </font>
    <font>
      <u/>
      <sz val="10"/>
      <color indexed="12"/>
      <name val="Arial"/>
      <family val="2"/>
    </font>
    <font>
      <b/>
      <sz val="16"/>
      <color theme="1"/>
      <name val="Aptos Narrow"/>
      <family val="2"/>
      <scheme val="minor"/>
    </font>
    <font>
      <sz val="8"/>
      <name val="Aptos Narrow"/>
      <family val="2"/>
      <scheme val="minor"/>
    </font>
    <font>
      <sz val="11"/>
      <color rgb="FFFF0000"/>
      <name val="Arial"/>
      <family val="2"/>
    </font>
    <font>
      <b/>
      <sz val="9"/>
      <name val="Arial"/>
      <family val="2"/>
    </font>
    <font>
      <sz val="11"/>
      <name val="Aptos Narrow"/>
      <family val="2"/>
      <scheme val="minor"/>
    </font>
    <font>
      <sz val="12"/>
      <name val="Arial"/>
      <family val="2"/>
    </font>
    <font>
      <sz val="12"/>
      <color theme="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165" fontId="2" fillId="0" borderId="0" applyFon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106">
    <xf numFmtId="0" fontId="0" fillId="0" borderId="0" xfId="0"/>
    <xf numFmtId="0" fontId="3" fillId="0" borderId="0" xfId="2" applyFont="1" applyAlignment="1">
      <alignment vertical="center"/>
    </xf>
    <xf numFmtId="0" fontId="3" fillId="0" borderId="0" xfId="2" applyFont="1" applyAlignment="1">
      <alignment horizontal="center" vertical="center"/>
    </xf>
    <xf numFmtId="44" fontId="3" fillId="0" borderId="0" xfId="1" applyFont="1" applyAlignment="1">
      <alignment vertical="center"/>
    </xf>
    <xf numFmtId="0" fontId="3" fillId="0" borderId="0" xfId="2" applyFont="1" applyAlignment="1">
      <alignment vertical="center" wrapText="1"/>
    </xf>
    <xf numFmtId="164" fontId="3" fillId="0" borderId="0" xfId="2" applyNumberFormat="1" applyFont="1" applyAlignment="1">
      <alignment vertical="center"/>
    </xf>
    <xf numFmtId="166" fontId="3" fillId="0" borderId="0" xfId="3" applyNumberFormat="1" applyFont="1" applyAlignment="1">
      <alignment vertical="center"/>
    </xf>
    <xf numFmtId="49" fontId="4" fillId="0" borderId="1" xfId="3" applyNumberFormat="1" applyFont="1" applyFill="1" applyBorder="1" applyAlignment="1" applyProtection="1">
      <alignment vertical="center" wrapText="1"/>
      <protection locked="0"/>
    </xf>
    <xf numFmtId="49" fontId="3" fillId="0" borderId="1" xfId="3" applyNumberFormat="1" applyFont="1" applyFill="1" applyBorder="1" applyAlignment="1" applyProtection="1">
      <alignment vertical="center" wrapText="1"/>
      <protection locked="0"/>
    </xf>
    <xf numFmtId="0" fontId="3" fillId="0" borderId="0" xfId="2" applyFont="1" applyAlignment="1">
      <alignment vertical="center" textRotation="255"/>
    </xf>
    <xf numFmtId="0" fontId="5" fillId="0" borderId="0" xfId="2" applyFont="1" applyAlignment="1">
      <alignment vertical="center" wrapText="1"/>
    </xf>
    <xf numFmtId="0" fontId="6" fillId="0" borderId="0" xfId="2" applyFont="1" applyAlignment="1">
      <alignment vertical="center"/>
    </xf>
    <xf numFmtId="0" fontId="6" fillId="0" borderId="0" xfId="2" applyFont="1" applyAlignment="1">
      <alignment horizontal="center" vertical="center"/>
    </xf>
    <xf numFmtId="0" fontId="7" fillId="3" borderId="1" xfId="0" applyFont="1" applyFill="1" applyBorder="1" applyAlignment="1">
      <alignment horizontal="center" vertical="center" wrapText="1"/>
    </xf>
    <xf numFmtId="0" fontId="0" fillId="0" borderId="0" xfId="0" applyAlignment="1">
      <alignment horizontal="center"/>
    </xf>
    <xf numFmtId="44" fontId="0" fillId="0" borderId="0" xfId="1" applyFont="1"/>
    <xf numFmtId="0" fontId="0" fillId="0" borderId="0" xfId="0" applyAlignment="1">
      <alignment wrapText="1"/>
    </xf>
    <xf numFmtId="44" fontId="5" fillId="0" borderId="0" xfId="1" applyFont="1" applyAlignment="1">
      <alignment vertical="center" wrapText="1"/>
    </xf>
    <xf numFmtId="0" fontId="5" fillId="0" borderId="1" xfId="2" applyFont="1" applyBorder="1" applyAlignment="1">
      <alignment vertical="center"/>
    </xf>
    <xf numFmtId="0" fontId="7" fillId="3" borderId="6" xfId="0" applyFont="1" applyFill="1" applyBorder="1" applyAlignment="1">
      <alignment horizontal="center" vertical="center" wrapText="1"/>
    </xf>
    <xf numFmtId="49" fontId="3" fillId="0" borderId="1" xfId="3" applyNumberFormat="1" applyFont="1" applyFill="1" applyBorder="1" applyAlignment="1" applyProtection="1">
      <alignment horizontal="center" vertical="center" wrapText="1"/>
      <protection locked="0"/>
    </xf>
    <xf numFmtId="44" fontId="3" fillId="0" borderId="1" xfId="1" applyFont="1" applyFill="1" applyBorder="1" applyAlignment="1" applyProtection="1">
      <alignment vertical="center" wrapText="1"/>
      <protection locked="0"/>
    </xf>
    <xf numFmtId="44" fontId="3" fillId="0" borderId="1" xfId="1"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44" fontId="7" fillId="2" borderId="6" xfId="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44" fontId="7" fillId="3" borderId="6" xfId="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6" fontId="7" fillId="3" borderId="6" xfId="3" applyNumberFormat="1" applyFont="1" applyFill="1" applyBorder="1" applyAlignment="1">
      <alignment horizontal="center" vertical="center" wrapText="1"/>
    </xf>
    <xf numFmtId="0" fontId="3" fillId="4" borderId="0" xfId="2" applyFont="1" applyFill="1" applyAlignment="1">
      <alignment vertical="center"/>
    </xf>
    <xf numFmtId="0" fontId="3" fillId="0" borderId="0" xfId="2" applyFont="1" applyFill="1" applyAlignment="1">
      <alignment vertical="center"/>
    </xf>
    <xf numFmtId="164" fontId="3" fillId="0" borderId="1" xfId="2" applyNumberFormat="1" applyFont="1" applyFill="1" applyBorder="1" applyAlignment="1">
      <alignment vertical="center"/>
    </xf>
    <xf numFmtId="0" fontId="3" fillId="0" borderId="1" xfId="2" applyFont="1" applyFill="1" applyBorder="1" applyAlignment="1">
      <alignment vertical="center" wrapText="1"/>
    </xf>
    <xf numFmtId="44" fontId="3" fillId="0" borderId="1" xfId="1" applyFont="1" applyFill="1" applyBorder="1" applyAlignment="1">
      <alignment vertical="center"/>
    </xf>
    <xf numFmtId="14" fontId="3" fillId="0" borderId="1" xfId="2" applyNumberFormat="1" applyFont="1" applyFill="1" applyBorder="1" applyAlignment="1">
      <alignment vertical="center"/>
    </xf>
    <xf numFmtId="0" fontId="3" fillId="0" borderId="1" xfId="2" applyFont="1" applyFill="1" applyBorder="1" applyAlignment="1">
      <alignment vertical="center"/>
    </xf>
    <xf numFmtId="0" fontId="3" fillId="0" borderId="1" xfId="2" applyFont="1" applyFill="1" applyBorder="1" applyAlignment="1">
      <alignment horizontal="center" vertical="center"/>
    </xf>
    <xf numFmtId="0" fontId="3" fillId="0" borderId="1" xfId="2" applyFont="1" applyFill="1" applyBorder="1" applyAlignment="1" applyProtection="1">
      <alignment vertical="center" wrapText="1"/>
      <protection locked="0"/>
    </xf>
    <xf numFmtId="0" fontId="3" fillId="0" borderId="1" xfId="2" applyFont="1" applyFill="1" applyBorder="1" applyAlignment="1" applyProtection="1">
      <alignment vertical="center"/>
      <protection locked="0"/>
    </xf>
    <xf numFmtId="0" fontId="11" fillId="0" borderId="0" xfId="2" applyFont="1" applyAlignment="1">
      <alignment vertical="center"/>
    </xf>
    <xf numFmtId="2" fontId="3" fillId="0" borderId="1" xfId="2" applyNumberFormat="1"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3" fillId="0" borderId="1" xfId="0" applyFont="1" applyFill="1" applyBorder="1" applyAlignment="1">
      <alignment wrapText="1"/>
    </xf>
    <xf numFmtId="0" fontId="13" fillId="0" borderId="1" xfId="0" applyFont="1" applyFill="1" applyBorder="1" applyAlignment="1">
      <alignment vertical="center" wrapText="1"/>
    </xf>
    <xf numFmtId="0" fontId="3" fillId="0" borderId="0" xfId="2" applyFont="1" applyFill="1" applyAlignment="1">
      <alignment horizontal="center" vertical="center"/>
    </xf>
    <xf numFmtId="14" fontId="3" fillId="0" borderId="1" xfId="2" applyNumberFormat="1" applyFont="1" applyFill="1" applyBorder="1" applyAlignment="1">
      <alignment vertical="center" wrapText="1"/>
    </xf>
    <xf numFmtId="0" fontId="11" fillId="0" borderId="0" xfId="2" applyFont="1" applyFill="1" applyAlignment="1">
      <alignment vertical="center"/>
    </xf>
    <xf numFmtId="164" fontId="3" fillId="0" borderId="0" xfId="2" applyNumberFormat="1" applyFont="1" applyBorder="1" applyAlignment="1">
      <alignment vertical="center"/>
    </xf>
    <xf numFmtId="2" fontId="3" fillId="0" borderId="0" xfId="2" applyNumberFormat="1" applyFont="1" applyFill="1" applyBorder="1" applyAlignment="1">
      <alignment vertical="center"/>
    </xf>
    <xf numFmtId="0" fontId="3" fillId="0" borderId="1" xfId="2" applyFont="1" applyFill="1" applyBorder="1" applyAlignment="1">
      <alignment horizontal="right" vertical="center" wrapText="1"/>
    </xf>
    <xf numFmtId="49" fontId="3" fillId="5" borderId="1" xfId="3" applyNumberFormat="1" applyFont="1" applyFill="1" applyBorder="1" applyAlignment="1" applyProtection="1">
      <alignment horizontal="center" vertical="center" wrapText="1"/>
      <protection locked="0"/>
    </xf>
    <xf numFmtId="49" fontId="3" fillId="5" borderId="1" xfId="3" applyNumberFormat="1" applyFont="1" applyFill="1" applyBorder="1" applyAlignment="1" applyProtection="1">
      <alignment vertical="center" wrapText="1"/>
      <protection locked="0"/>
    </xf>
    <xf numFmtId="2" fontId="3" fillId="5" borderId="1" xfId="2" applyNumberFormat="1" applyFont="1" applyFill="1" applyBorder="1" applyAlignment="1">
      <alignment vertical="center"/>
    </xf>
    <xf numFmtId="44" fontId="3" fillId="0" borderId="0" xfId="1" applyFont="1" applyFill="1" applyAlignment="1">
      <alignment vertical="center"/>
    </xf>
    <xf numFmtId="0" fontId="3" fillId="0" borderId="1" xfId="2" applyFont="1" applyFill="1" applyBorder="1" applyAlignment="1">
      <alignment horizontal="center" vertical="center" wrapText="1"/>
    </xf>
    <xf numFmtId="0" fontId="3" fillId="0" borderId="1" xfId="0" applyFont="1" applyFill="1" applyBorder="1" applyAlignment="1">
      <alignment wrapText="1"/>
    </xf>
    <xf numFmtId="0" fontId="3" fillId="0" borderId="1"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3" fillId="5" borderId="1" xfId="2" applyFont="1" applyFill="1" applyBorder="1" applyAlignment="1">
      <alignment vertical="center" wrapText="1"/>
    </xf>
    <xf numFmtId="44" fontId="3" fillId="5" borderId="1" xfId="1" applyFont="1" applyFill="1" applyBorder="1" applyAlignment="1">
      <alignment vertical="center"/>
    </xf>
    <xf numFmtId="14" fontId="3" fillId="5" borderId="1" xfId="2" applyNumberFormat="1" applyFont="1" applyFill="1" applyBorder="1" applyAlignment="1">
      <alignment vertical="center"/>
    </xf>
    <xf numFmtId="0" fontId="3" fillId="5" borderId="1" xfId="2" applyFont="1" applyFill="1" applyBorder="1" applyAlignment="1">
      <alignment vertical="center"/>
    </xf>
    <xf numFmtId="44" fontId="3" fillId="5" borderId="0" xfId="1" applyFont="1" applyFill="1" applyAlignment="1">
      <alignment vertical="center"/>
    </xf>
    <xf numFmtId="0" fontId="3" fillId="5" borderId="1" xfId="2" applyFont="1" applyFill="1" applyBorder="1" applyAlignment="1">
      <alignment horizontal="center" vertical="center"/>
    </xf>
    <xf numFmtId="9" fontId="3" fillId="0" borderId="0" xfId="5" applyFont="1" applyAlignment="1">
      <alignment horizontal="center" vertical="center"/>
    </xf>
    <xf numFmtId="0" fontId="14" fillId="0" borderId="0" xfId="2" applyFont="1" applyAlignment="1">
      <alignment vertical="center"/>
    </xf>
    <xf numFmtId="0" fontId="15" fillId="0" borderId="0" xfId="0" applyFont="1"/>
    <xf numFmtId="49" fontId="14" fillId="0" borderId="1" xfId="3" applyNumberFormat="1" applyFont="1" applyFill="1" applyBorder="1" applyAlignment="1" applyProtection="1">
      <alignment horizontal="center" vertical="center" wrapText="1"/>
      <protection locked="0"/>
    </xf>
    <xf numFmtId="14" fontId="14" fillId="0" borderId="1" xfId="2" applyNumberFormat="1" applyFont="1" applyFill="1" applyBorder="1" applyAlignment="1">
      <alignment vertical="center"/>
    </xf>
    <xf numFmtId="14" fontId="14" fillId="5" borderId="1" xfId="2" applyNumberFormat="1" applyFont="1" applyFill="1" applyBorder="1" applyAlignment="1">
      <alignment vertical="center"/>
    </xf>
    <xf numFmtId="0" fontId="14" fillId="0" borderId="1" xfId="2" applyFont="1" applyFill="1" applyBorder="1" applyAlignment="1">
      <alignment horizontal="right" vertical="center" wrapText="1"/>
    </xf>
    <xf numFmtId="8" fontId="3" fillId="0" borderId="0" xfId="1" applyNumberFormat="1" applyFont="1" applyAlignment="1">
      <alignment vertical="center"/>
    </xf>
    <xf numFmtId="44" fontId="3" fillId="0" borderId="0" xfId="2" applyNumberFormat="1" applyFont="1" applyAlignment="1">
      <alignment vertical="center"/>
    </xf>
    <xf numFmtId="0" fontId="3" fillId="5" borderId="1" xfId="2" applyFont="1" applyFill="1" applyBorder="1" applyAlignment="1" applyProtection="1">
      <alignment vertical="center" wrapText="1"/>
      <protection locked="0"/>
    </xf>
    <xf numFmtId="0" fontId="7" fillId="2" borderId="6" xfId="0" applyFont="1" applyFill="1" applyBorder="1" applyAlignment="1">
      <alignment horizontal="center" vertical="center" wrapText="1"/>
    </xf>
    <xf numFmtId="44" fontId="7" fillId="2" borderId="6" xfId="1" applyFont="1" applyFill="1" applyBorder="1" applyAlignment="1">
      <alignment horizontal="center" vertical="center" wrapText="1"/>
    </xf>
    <xf numFmtId="166" fontId="7" fillId="3" borderId="6" xfId="3"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44" fontId="7" fillId="3" borderId="6"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1" xfId="0" applyFont="1" applyBorder="1" applyAlignment="1">
      <alignment horizontal="center" vertical="center"/>
    </xf>
    <xf numFmtId="0" fontId="5" fillId="0" borderId="4" xfId="2" applyFont="1" applyBorder="1" applyAlignment="1">
      <alignment horizontal="center" vertical="center" wrapText="1"/>
    </xf>
    <xf numFmtId="0" fontId="5" fillId="0" borderId="3" xfId="2" applyFont="1" applyBorder="1" applyAlignment="1">
      <alignment horizontal="center" vertical="center" wrapText="1"/>
    </xf>
    <xf numFmtId="0" fontId="5" fillId="0" borderId="2" xfId="2" applyFont="1" applyBorder="1" applyAlignment="1">
      <alignment horizontal="center" vertical="center" wrapText="1"/>
    </xf>
    <xf numFmtId="0" fontId="5" fillId="0" borderId="1" xfId="2" applyFont="1" applyBorder="1" applyAlignment="1">
      <alignment horizontal="left" vertical="center" wrapText="1"/>
    </xf>
    <xf numFmtId="164" fontId="7" fillId="2" borderId="1"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0" fontId="8" fillId="0" borderId="4" xfId="4" applyBorder="1" applyAlignment="1" applyProtection="1">
      <alignment horizontal="center" vertical="center" wrapText="1"/>
    </xf>
    <xf numFmtId="164" fontId="7" fillId="3" borderId="1" xfId="0"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44" fontId="7" fillId="3" borderId="1" xfId="1" applyFont="1" applyFill="1" applyBorder="1" applyAlignment="1">
      <alignment horizontal="center" vertical="center" wrapText="1"/>
    </xf>
    <xf numFmtId="44" fontId="7" fillId="3" borderId="6" xfId="1" applyFont="1" applyFill="1" applyBorder="1" applyAlignment="1">
      <alignment horizontal="center" vertical="center" wrapText="1"/>
    </xf>
    <xf numFmtId="166" fontId="7" fillId="3" borderId="1" xfId="3" applyNumberFormat="1" applyFont="1" applyFill="1" applyBorder="1" applyAlignment="1">
      <alignment horizontal="center" vertical="center" wrapText="1"/>
    </xf>
    <xf numFmtId="166" fontId="7" fillId="3" borderId="6" xfId="3" applyNumberFormat="1" applyFont="1" applyFill="1" applyBorder="1" applyAlignment="1">
      <alignment horizontal="center" vertical="center" wrapText="1"/>
    </xf>
    <xf numFmtId="44" fontId="7" fillId="2" borderId="1" xfId="1" applyFont="1" applyFill="1" applyBorder="1" applyAlignment="1">
      <alignment horizontal="center" vertical="center" wrapText="1"/>
    </xf>
    <xf numFmtId="44" fontId="7" fillId="2" borderId="6" xfId="1" applyFont="1" applyFill="1" applyBorder="1" applyAlignment="1">
      <alignment horizontal="center"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9" fillId="0" borderId="0" xfId="0" applyFont="1" applyAlignment="1">
      <alignment horizontal="center" vertical="center"/>
    </xf>
  </cellXfs>
  <cellStyles count="6">
    <cellStyle name="Hipervínculo" xfId="4" builtinId="8"/>
    <cellStyle name="Millares 2" xfId="3"/>
    <cellStyle name="Moneda" xfId="1" builtinId="4"/>
    <cellStyle name="Normal" xfId="0" builtinId="0"/>
    <cellStyle name="Normal 2" xfId="2"/>
    <cellStyle name="Porcentaje" xfId="5" builtinId="5"/>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179293</xdr:rowOff>
    </xdr:from>
    <xdr:to>
      <xdr:col>9</xdr:col>
      <xdr:colOff>1311087</xdr:colOff>
      <xdr:row>6</xdr:row>
      <xdr:rowOff>1669675</xdr:rowOff>
    </xdr:to>
    <xdr:sp macro="" textlink="">
      <xdr:nvSpPr>
        <xdr:cNvPr id="2" name="CuadroTexto 1">
          <a:extLst>
            <a:ext uri="{FF2B5EF4-FFF2-40B4-BE49-F238E27FC236}">
              <a16:creationId xmlns:a16="http://schemas.microsoft.com/office/drawing/2014/main" id="{13DF6583-EBA6-4FEB-B58E-87E7C2F07935}"/>
            </a:ext>
          </a:extLst>
        </xdr:cNvPr>
        <xdr:cNvSpPr txBox="1"/>
      </xdr:nvSpPr>
      <xdr:spPr>
        <a:xfrm>
          <a:off x="171450" y="179293"/>
          <a:ext cx="11274237" cy="1509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1400</xdr:colOff>
      <xdr:row>0</xdr:row>
      <xdr:rowOff>179293</xdr:rowOff>
    </xdr:from>
    <xdr:to>
      <xdr:col>6</xdr:col>
      <xdr:colOff>904875</xdr:colOff>
      <xdr:row>6</xdr:row>
      <xdr:rowOff>1669675</xdr:rowOff>
    </xdr:to>
    <xdr:sp macro="" textlink="">
      <xdr:nvSpPr>
        <xdr:cNvPr id="3" name="CuadroTexto 2">
          <a:extLst>
            <a:ext uri="{FF2B5EF4-FFF2-40B4-BE49-F238E27FC236}">
              <a16:creationId xmlns:a16="http://schemas.microsoft.com/office/drawing/2014/main" id="{BE4F20FC-5B5E-43CE-AA61-99BBE400C78A}"/>
            </a:ext>
          </a:extLst>
        </xdr:cNvPr>
        <xdr:cNvSpPr txBox="1"/>
      </xdr:nvSpPr>
      <xdr:spPr>
        <a:xfrm>
          <a:off x="2468375" y="179293"/>
          <a:ext cx="3018025" cy="1509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OFICINA ASESORA DE CONTROL INTERNO AUDITORÍA A LOS CONTRATOS </a:t>
          </a:r>
        </a:p>
      </xdr:txBody>
    </xdr:sp>
    <xdr:clientData/>
  </xdr:twoCellAnchor>
  <xdr:oneCellAnchor>
    <xdr:from>
      <xdr:col>1</xdr:col>
      <xdr:colOff>46692</xdr:colOff>
      <xdr:row>1</xdr:row>
      <xdr:rowOff>20916</xdr:rowOff>
    </xdr:from>
    <xdr:ext cx="2508029" cy="986812"/>
    <xdr:pic>
      <xdr:nvPicPr>
        <xdr:cNvPr id="4" name="Imagen 3">
          <a:extLst>
            <a:ext uri="{FF2B5EF4-FFF2-40B4-BE49-F238E27FC236}">
              <a16:creationId xmlns:a16="http://schemas.microsoft.com/office/drawing/2014/main" id="{F7EC5768-3DFC-4FA3-9813-1305AE543C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142" y="211416"/>
          <a:ext cx="2508029" cy="986812"/>
        </a:xfrm>
        <a:prstGeom prst="rect">
          <a:avLst/>
        </a:prstGeom>
      </xdr:spPr>
    </xdr:pic>
    <xdr:clientData/>
  </xdr:oneCellAnchor>
  <xdr:twoCellAnchor>
    <xdr:from>
      <xdr:col>7</xdr:col>
      <xdr:colOff>1418292</xdr:colOff>
      <xdr:row>1</xdr:row>
      <xdr:rowOff>54534</xdr:rowOff>
    </xdr:from>
    <xdr:to>
      <xdr:col>9</xdr:col>
      <xdr:colOff>985409</xdr:colOff>
      <xdr:row>7</xdr:row>
      <xdr:rowOff>161139</xdr:rowOff>
    </xdr:to>
    <xdr:sp macro="" textlink="">
      <xdr:nvSpPr>
        <xdr:cNvPr id="5" name="Cuadro de texto 8">
          <a:extLst>
            <a:ext uri="{FF2B5EF4-FFF2-40B4-BE49-F238E27FC236}">
              <a16:creationId xmlns:a16="http://schemas.microsoft.com/office/drawing/2014/main" id="{68355DC5-4A76-4729-8998-326F01DC40C4}"/>
            </a:ext>
          </a:extLst>
        </xdr:cNvPr>
        <xdr:cNvSpPr txBox="1">
          <a:spLocks noChangeArrowheads="1"/>
        </xdr:cNvSpPr>
      </xdr:nvSpPr>
      <xdr:spPr bwMode="auto">
        <a:xfrm>
          <a:off x="7419042" y="245034"/>
          <a:ext cx="4034342" cy="1602030"/>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MIPG VERSION 2 / APROBADO 02/05/2023 CÓDIGO ARCHIVÍSTICO - 100.21.01</a:t>
          </a:r>
          <a:endPar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8</xdr:col>
      <xdr:colOff>1279338</xdr:colOff>
      <xdr:row>2</xdr:row>
      <xdr:rowOff>177800</xdr:rowOff>
    </xdr:from>
    <xdr:to>
      <xdr:col>9</xdr:col>
      <xdr:colOff>974911</xdr:colOff>
      <xdr:row>4</xdr:row>
      <xdr:rowOff>67236</xdr:rowOff>
    </xdr:to>
    <xdr:sp macro="" textlink="">
      <xdr:nvSpPr>
        <xdr:cNvPr id="6" name="Cuadro de texto 17">
          <a:extLst>
            <a:ext uri="{FF2B5EF4-FFF2-40B4-BE49-F238E27FC236}">
              <a16:creationId xmlns:a16="http://schemas.microsoft.com/office/drawing/2014/main" id="{8B2E4982-F4EE-4A25-BFF1-2E2EDDFF451F}"/>
            </a:ext>
          </a:extLst>
        </xdr:cNvPr>
        <xdr:cNvSpPr txBox="1">
          <a:spLocks noChangeArrowheads="1"/>
        </xdr:cNvSpPr>
      </xdr:nvSpPr>
      <xdr:spPr bwMode="auto">
        <a:xfrm>
          <a:off x="10299513" y="558800"/>
          <a:ext cx="1152898" cy="270436"/>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rgbClr val="7F7F7F"/>
              </a:solidFill>
              <a:effectLst/>
              <a:latin typeface="Arial" panose="020B0604020202020204" pitchFamily="34" charset="0"/>
              <a:ea typeface="Calibri" panose="020F0502020204030204" pitchFamily="34" charset="0"/>
              <a:cs typeface="Times New Roman" panose="02020603050405020304" pitchFamily="18" charset="0"/>
            </a:rPr>
            <a:t>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1234515</xdr:colOff>
      <xdr:row>3</xdr:row>
      <xdr:rowOff>32122</xdr:rowOff>
    </xdr:from>
    <xdr:to>
      <xdr:col>9</xdr:col>
      <xdr:colOff>1003674</xdr:colOff>
      <xdr:row>5</xdr:row>
      <xdr:rowOff>163285</xdr:rowOff>
    </xdr:to>
    <xdr:sp macro="" textlink="">
      <xdr:nvSpPr>
        <xdr:cNvPr id="7" name="Cuadro de texto 2">
          <a:extLst>
            <a:ext uri="{FF2B5EF4-FFF2-40B4-BE49-F238E27FC236}">
              <a16:creationId xmlns:a16="http://schemas.microsoft.com/office/drawing/2014/main" id="{ACB8BCA0-4282-4972-8A52-B9CC94B9B216}"/>
            </a:ext>
          </a:extLst>
        </xdr:cNvPr>
        <xdr:cNvSpPr txBox="1">
          <a:spLocks noChangeArrowheads="1"/>
        </xdr:cNvSpPr>
      </xdr:nvSpPr>
      <xdr:spPr bwMode="auto">
        <a:xfrm>
          <a:off x="5816040" y="603622"/>
          <a:ext cx="5636559" cy="512163"/>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00000"/>
            </a:lnSpc>
            <a:spcAft>
              <a:spcPts val="0"/>
            </a:spcAft>
          </a:pPr>
          <a:r>
            <a:rPr lang="es-CO" sz="900" spc="-15">
              <a:solidFill>
                <a:srgbClr val="3B3838"/>
              </a:solidFill>
              <a:effectLst/>
              <a:latin typeface="Arial" panose="020B0604020202020204" pitchFamily="34" charset="0"/>
              <a:ea typeface="Calibri" panose="020F0502020204030204" pitchFamily="34" charset="0"/>
              <a:cs typeface="Times New Roman" panose="02020603050405020304" pitchFamily="18" charset="0"/>
            </a:rPr>
            <a:t>FONDO DE DESARROLLO SOCIAL DEL MUNICIPIO DE EL RETIRO</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NIT 900.198.194-5</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GERENCIA / AUDITORÍAS</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ES" sz="1200">
              <a:effectLst/>
              <a:latin typeface="Calibri" panose="020F0502020204030204" pitchFamily="34" charset="0"/>
              <a:ea typeface="Calibri" panose="020F0502020204030204" pitchFamily="34" charset="0"/>
              <a:cs typeface="Calibri" panose="020F0502020204030204" pitchFamily="34" charset="0"/>
            </a:rPr>
            <a:t> </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179293</xdr:rowOff>
    </xdr:from>
    <xdr:to>
      <xdr:col>9</xdr:col>
      <xdr:colOff>1311087</xdr:colOff>
      <xdr:row>6</xdr:row>
      <xdr:rowOff>1669675</xdr:rowOff>
    </xdr:to>
    <xdr:sp macro="" textlink="">
      <xdr:nvSpPr>
        <xdr:cNvPr id="2" name="CuadroTexto 1">
          <a:extLst>
            <a:ext uri="{FF2B5EF4-FFF2-40B4-BE49-F238E27FC236}">
              <a16:creationId xmlns:a16="http://schemas.microsoft.com/office/drawing/2014/main" id="{13DF6583-EBA6-4FEB-B58E-87E7C2F07935}"/>
            </a:ext>
          </a:extLst>
        </xdr:cNvPr>
        <xdr:cNvSpPr txBox="1"/>
      </xdr:nvSpPr>
      <xdr:spPr>
        <a:xfrm>
          <a:off x="152400" y="179293"/>
          <a:ext cx="12607737"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1400</xdr:colOff>
      <xdr:row>0</xdr:row>
      <xdr:rowOff>179293</xdr:rowOff>
    </xdr:from>
    <xdr:to>
      <xdr:col>6</xdr:col>
      <xdr:colOff>904875</xdr:colOff>
      <xdr:row>6</xdr:row>
      <xdr:rowOff>1669675</xdr:rowOff>
    </xdr:to>
    <xdr:sp macro="" textlink="">
      <xdr:nvSpPr>
        <xdr:cNvPr id="3" name="CuadroTexto 2">
          <a:extLst>
            <a:ext uri="{FF2B5EF4-FFF2-40B4-BE49-F238E27FC236}">
              <a16:creationId xmlns:a16="http://schemas.microsoft.com/office/drawing/2014/main" id="{BE4F20FC-5B5E-43CE-AA61-99BBE400C78A}"/>
            </a:ext>
          </a:extLst>
        </xdr:cNvPr>
        <xdr:cNvSpPr txBox="1"/>
      </xdr:nvSpPr>
      <xdr:spPr>
        <a:xfrm>
          <a:off x="2706500" y="179293"/>
          <a:ext cx="5494525"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OFICINA ASESORA DE CONTROL INTERNO AUDITORÍA A LOS CONTRATOS </a:t>
          </a:r>
        </a:p>
      </xdr:txBody>
    </xdr:sp>
    <xdr:clientData/>
  </xdr:twoCellAnchor>
  <xdr:oneCellAnchor>
    <xdr:from>
      <xdr:col>1</xdr:col>
      <xdr:colOff>46692</xdr:colOff>
      <xdr:row>1</xdr:row>
      <xdr:rowOff>20916</xdr:rowOff>
    </xdr:from>
    <xdr:ext cx="2508029" cy="986812"/>
    <xdr:pic>
      <xdr:nvPicPr>
        <xdr:cNvPr id="4" name="Imagen 3">
          <a:extLst>
            <a:ext uri="{FF2B5EF4-FFF2-40B4-BE49-F238E27FC236}">
              <a16:creationId xmlns:a16="http://schemas.microsoft.com/office/drawing/2014/main" id="{F7EC5768-3DFC-4FA3-9813-1305AE543C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092" y="201891"/>
          <a:ext cx="2508029" cy="986812"/>
        </a:xfrm>
        <a:prstGeom prst="rect">
          <a:avLst/>
        </a:prstGeom>
      </xdr:spPr>
    </xdr:pic>
    <xdr:clientData/>
  </xdr:oneCellAnchor>
  <xdr:twoCellAnchor>
    <xdr:from>
      <xdr:col>7</xdr:col>
      <xdr:colOff>1418292</xdr:colOff>
      <xdr:row>1</xdr:row>
      <xdr:rowOff>54534</xdr:rowOff>
    </xdr:from>
    <xdr:to>
      <xdr:col>9</xdr:col>
      <xdr:colOff>985409</xdr:colOff>
      <xdr:row>7</xdr:row>
      <xdr:rowOff>161139</xdr:rowOff>
    </xdr:to>
    <xdr:sp macro="" textlink="">
      <xdr:nvSpPr>
        <xdr:cNvPr id="5" name="Cuadro de texto 8">
          <a:extLst>
            <a:ext uri="{FF2B5EF4-FFF2-40B4-BE49-F238E27FC236}">
              <a16:creationId xmlns:a16="http://schemas.microsoft.com/office/drawing/2014/main" id="{68355DC5-4A76-4729-8998-326F01DC40C4}"/>
            </a:ext>
          </a:extLst>
        </xdr:cNvPr>
        <xdr:cNvSpPr txBox="1">
          <a:spLocks noChangeArrowheads="1"/>
        </xdr:cNvSpPr>
      </xdr:nvSpPr>
      <xdr:spPr bwMode="auto">
        <a:xfrm>
          <a:off x="9952692" y="235509"/>
          <a:ext cx="2481767" cy="1192455"/>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MIPG VERSION 2 / APROBADO 02/05/2023 CÓDIGO ARCHIVÍSTICO - 100.21.01</a:t>
          </a:r>
          <a:endPar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8</xdr:col>
      <xdr:colOff>1279338</xdr:colOff>
      <xdr:row>2</xdr:row>
      <xdr:rowOff>177800</xdr:rowOff>
    </xdr:from>
    <xdr:to>
      <xdr:col>9</xdr:col>
      <xdr:colOff>974911</xdr:colOff>
      <xdr:row>4</xdr:row>
      <xdr:rowOff>67236</xdr:rowOff>
    </xdr:to>
    <xdr:sp macro="" textlink="">
      <xdr:nvSpPr>
        <xdr:cNvPr id="6" name="Cuadro de texto 17">
          <a:extLst>
            <a:ext uri="{FF2B5EF4-FFF2-40B4-BE49-F238E27FC236}">
              <a16:creationId xmlns:a16="http://schemas.microsoft.com/office/drawing/2014/main" id="{8B2E4982-F4EE-4A25-BFF1-2E2EDDFF451F}"/>
            </a:ext>
          </a:extLst>
        </xdr:cNvPr>
        <xdr:cNvSpPr txBox="1">
          <a:spLocks noChangeArrowheads="1"/>
        </xdr:cNvSpPr>
      </xdr:nvSpPr>
      <xdr:spPr bwMode="auto">
        <a:xfrm>
          <a:off x="11271063" y="539750"/>
          <a:ext cx="1152898" cy="251386"/>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rgbClr val="7F7F7F"/>
              </a:solidFill>
              <a:effectLst/>
              <a:latin typeface="Arial" panose="020B0604020202020204" pitchFamily="34" charset="0"/>
              <a:ea typeface="Calibri" panose="020F0502020204030204" pitchFamily="34" charset="0"/>
              <a:cs typeface="Times New Roman" panose="02020603050405020304" pitchFamily="18" charset="0"/>
            </a:rPr>
            <a:t>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1234515</xdr:colOff>
      <xdr:row>3</xdr:row>
      <xdr:rowOff>32122</xdr:rowOff>
    </xdr:from>
    <xdr:to>
      <xdr:col>9</xdr:col>
      <xdr:colOff>1003674</xdr:colOff>
      <xdr:row>5</xdr:row>
      <xdr:rowOff>163285</xdr:rowOff>
    </xdr:to>
    <xdr:sp macro="" textlink="">
      <xdr:nvSpPr>
        <xdr:cNvPr id="7" name="Cuadro de texto 2">
          <a:extLst>
            <a:ext uri="{FF2B5EF4-FFF2-40B4-BE49-F238E27FC236}">
              <a16:creationId xmlns:a16="http://schemas.microsoft.com/office/drawing/2014/main" id="{ACB8BCA0-4282-4972-8A52-B9CC94B9B216}"/>
            </a:ext>
          </a:extLst>
        </xdr:cNvPr>
        <xdr:cNvSpPr txBox="1">
          <a:spLocks noChangeArrowheads="1"/>
        </xdr:cNvSpPr>
      </xdr:nvSpPr>
      <xdr:spPr bwMode="auto">
        <a:xfrm>
          <a:off x="8530665" y="575047"/>
          <a:ext cx="3922059" cy="493113"/>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00000"/>
            </a:lnSpc>
            <a:spcAft>
              <a:spcPts val="0"/>
            </a:spcAft>
          </a:pPr>
          <a:r>
            <a:rPr lang="es-CO" sz="900" spc="-15">
              <a:solidFill>
                <a:srgbClr val="3B3838"/>
              </a:solidFill>
              <a:effectLst/>
              <a:latin typeface="Arial" panose="020B0604020202020204" pitchFamily="34" charset="0"/>
              <a:ea typeface="Calibri" panose="020F0502020204030204" pitchFamily="34" charset="0"/>
              <a:cs typeface="Times New Roman" panose="02020603050405020304" pitchFamily="18" charset="0"/>
            </a:rPr>
            <a:t>FONDO DE DESARROLLO SOCIAL DEL MUNICIPIO DE EL RETIRO</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NIT 900.198.194-5</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GERENCIA / AUDITORÍAS</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ES" sz="1200">
              <a:effectLst/>
              <a:latin typeface="Calibri" panose="020F0502020204030204" pitchFamily="34" charset="0"/>
              <a:ea typeface="Calibri" panose="020F0502020204030204" pitchFamily="34" charset="0"/>
              <a:cs typeface="Calibri" panose="020F0502020204030204" pitchFamily="34" charset="0"/>
            </a:rPr>
            <a:t> </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179293</xdr:rowOff>
    </xdr:from>
    <xdr:to>
      <xdr:col>9</xdr:col>
      <xdr:colOff>1311087</xdr:colOff>
      <xdr:row>6</xdr:row>
      <xdr:rowOff>1669675</xdr:rowOff>
    </xdr:to>
    <xdr:sp macro="" textlink="">
      <xdr:nvSpPr>
        <xdr:cNvPr id="2" name="CuadroTexto 1">
          <a:extLst>
            <a:ext uri="{FF2B5EF4-FFF2-40B4-BE49-F238E27FC236}">
              <a16:creationId xmlns:a16="http://schemas.microsoft.com/office/drawing/2014/main" id="{4E84DAB4-8A37-4E21-B012-49BDB62DDE20}"/>
            </a:ext>
          </a:extLst>
        </xdr:cNvPr>
        <xdr:cNvSpPr txBox="1"/>
      </xdr:nvSpPr>
      <xdr:spPr>
        <a:xfrm>
          <a:off x="152400" y="179293"/>
          <a:ext cx="12607737"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1400</xdr:colOff>
      <xdr:row>0</xdr:row>
      <xdr:rowOff>179293</xdr:rowOff>
    </xdr:from>
    <xdr:to>
      <xdr:col>6</xdr:col>
      <xdr:colOff>904875</xdr:colOff>
      <xdr:row>6</xdr:row>
      <xdr:rowOff>1669675</xdr:rowOff>
    </xdr:to>
    <xdr:sp macro="" textlink="">
      <xdr:nvSpPr>
        <xdr:cNvPr id="3" name="CuadroTexto 2">
          <a:extLst>
            <a:ext uri="{FF2B5EF4-FFF2-40B4-BE49-F238E27FC236}">
              <a16:creationId xmlns:a16="http://schemas.microsoft.com/office/drawing/2014/main" id="{679A06BC-7796-465C-923A-5F70361EDDB8}"/>
            </a:ext>
          </a:extLst>
        </xdr:cNvPr>
        <xdr:cNvSpPr txBox="1"/>
      </xdr:nvSpPr>
      <xdr:spPr>
        <a:xfrm>
          <a:off x="2706500" y="179293"/>
          <a:ext cx="5494525"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OFICINA ASESORA DE CONTROL INTERNO AUDITORÍA A LOS CONTRATOS </a:t>
          </a:r>
        </a:p>
      </xdr:txBody>
    </xdr:sp>
    <xdr:clientData/>
  </xdr:twoCellAnchor>
  <xdr:oneCellAnchor>
    <xdr:from>
      <xdr:col>1</xdr:col>
      <xdr:colOff>46692</xdr:colOff>
      <xdr:row>1</xdr:row>
      <xdr:rowOff>20916</xdr:rowOff>
    </xdr:from>
    <xdr:ext cx="2508029" cy="986812"/>
    <xdr:pic>
      <xdr:nvPicPr>
        <xdr:cNvPr id="4" name="Imagen 3">
          <a:extLst>
            <a:ext uri="{FF2B5EF4-FFF2-40B4-BE49-F238E27FC236}">
              <a16:creationId xmlns:a16="http://schemas.microsoft.com/office/drawing/2014/main" id="{5119E9BD-A1F8-4CAB-83D3-DDD1251CC3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092" y="201891"/>
          <a:ext cx="2508029" cy="986812"/>
        </a:xfrm>
        <a:prstGeom prst="rect">
          <a:avLst/>
        </a:prstGeom>
      </xdr:spPr>
    </xdr:pic>
    <xdr:clientData/>
  </xdr:oneCellAnchor>
  <xdr:twoCellAnchor>
    <xdr:from>
      <xdr:col>7</xdr:col>
      <xdr:colOff>1418292</xdr:colOff>
      <xdr:row>1</xdr:row>
      <xdr:rowOff>54534</xdr:rowOff>
    </xdr:from>
    <xdr:to>
      <xdr:col>9</xdr:col>
      <xdr:colOff>985409</xdr:colOff>
      <xdr:row>7</xdr:row>
      <xdr:rowOff>161139</xdr:rowOff>
    </xdr:to>
    <xdr:sp macro="" textlink="">
      <xdr:nvSpPr>
        <xdr:cNvPr id="5" name="Cuadro de texto 8">
          <a:extLst>
            <a:ext uri="{FF2B5EF4-FFF2-40B4-BE49-F238E27FC236}">
              <a16:creationId xmlns:a16="http://schemas.microsoft.com/office/drawing/2014/main" id="{3977CBC5-2833-4C2E-8501-9E21EE2DACD8}"/>
            </a:ext>
          </a:extLst>
        </xdr:cNvPr>
        <xdr:cNvSpPr txBox="1">
          <a:spLocks noChangeArrowheads="1"/>
        </xdr:cNvSpPr>
      </xdr:nvSpPr>
      <xdr:spPr bwMode="auto">
        <a:xfrm>
          <a:off x="9952692" y="235509"/>
          <a:ext cx="2481767" cy="1192455"/>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MIPG VERSION 2 / APROBADO 02/05/2023 CÓDIGO ARCHIVÍSTICO - 100.21.01</a:t>
          </a:r>
          <a:endPar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8</xdr:col>
      <xdr:colOff>1279338</xdr:colOff>
      <xdr:row>2</xdr:row>
      <xdr:rowOff>177800</xdr:rowOff>
    </xdr:from>
    <xdr:to>
      <xdr:col>9</xdr:col>
      <xdr:colOff>974911</xdr:colOff>
      <xdr:row>4</xdr:row>
      <xdr:rowOff>67236</xdr:rowOff>
    </xdr:to>
    <xdr:sp macro="" textlink="">
      <xdr:nvSpPr>
        <xdr:cNvPr id="6" name="Cuadro de texto 17">
          <a:extLst>
            <a:ext uri="{FF2B5EF4-FFF2-40B4-BE49-F238E27FC236}">
              <a16:creationId xmlns:a16="http://schemas.microsoft.com/office/drawing/2014/main" id="{264E72DF-AAFC-455C-AC83-CE9B1B7274C0}"/>
            </a:ext>
          </a:extLst>
        </xdr:cNvPr>
        <xdr:cNvSpPr txBox="1">
          <a:spLocks noChangeArrowheads="1"/>
        </xdr:cNvSpPr>
      </xdr:nvSpPr>
      <xdr:spPr bwMode="auto">
        <a:xfrm>
          <a:off x="11271063" y="539750"/>
          <a:ext cx="1152898" cy="251386"/>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rgbClr val="7F7F7F"/>
              </a:solidFill>
              <a:effectLst/>
              <a:latin typeface="Arial" panose="020B0604020202020204" pitchFamily="34" charset="0"/>
              <a:ea typeface="Calibri" panose="020F0502020204030204" pitchFamily="34" charset="0"/>
              <a:cs typeface="Times New Roman" panose="02020603050405020304" pitchFamily="18" charset="0"/>
            </a:rPr>
            <a:t>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1234515</xdr:colOff>
      <xdr:row>3</xdr:row>
      <xdr:rowOff>32122</xdr:rowOff>
    </xdr:from>
    <xdr:to>
      <xdr:col>9</xdr:col>
      <xdr:colOff>1003674</xdr:colOff>
      <xdr:row>5</xdr:row>
      <xdr:rowOff>163285</xdr:rowOff>
    </xdr:to>
    <xdr:sp macro="" textlink="">
      <xdr:nvSpPr>
        <xdr:cNvPr id="7" name="Cuadro de texto 2">
          <a:extLst>
            <a:ext uri="{FF2B5EF4-FFF2-40B4-BE49-F238E27FC236}">
              <a16:creationId xmlns:a16="http://schemas.microsoft.com/office/drawing/2014/main" id="{C5362713-82F3-4EB0-8B5E-ED844B167155}"/>
            </a:ext>
          </a:extLst>
        </xdr:cNvPr>
        <xdr:cNvSpPr txBox="1">
          <a:spLocks noChangeArrowheads="1"/>
        </xdr:cNvSpPr>
      </xdr:nvSpPr>
      <xdr:spPr bwMode="auto">
        <a:xfrm>
          <a:off x="8530665" y="575047"/>
          <a:ext cx="3922059" cy="493113"/>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00000"/>
            </a:lnSpc>
            <a:spcAft>
              <a:spcPts val="0"/>
            </a:spcAft>
          </a:pPr>
          <a:r>
            <a:rPr lang="es-CO" sz="900" spc="-15">
              <a:solidFill>
                <a:srgbClr val="3B3838"/>
              </a:solidFill>
              <a:effectLst/>
              <a:latin typeface="Arial" panose="020B0604020202020204" pitchFamily="34" charset="0"/>
              <a:ea typeface="Calibri" panose="020F0502020204030204" pitchFamily="34" charset="0"/>
              <a:cs typeface="Times New Roman" panose="02020603050405020304" pitchFamily="18" charset="0"/>
            </a:rPr>
            <a:t>FONDO DE DESARROLLO SOCIAL DEL MUNICIPIO DE EL RETIRO</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NIT 900.198.194-5</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GERENCIA / AUDITORÍAS</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ES" sz="1200">
              <a:effectLst/>
              <a:latin typeface="Calibri" panose="020F0502020204030204" pitchFamily="34" charset="0"/>
              <a:ea typeface="Calibri" panose="020F0502020204030204" pitchFamily="34" charset="0"/>
              <a:cs typeface="Calibri" panose="020F0502020204030204" pitchFamily="34" charset="0"/>
            </a:rPr>
            <a:t> </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179293</xdr:rowOff>
    </xdr:from>
    <xdr:to>
      <xdr:col>9</xdr:col>
      <xdr:colOff>1311087</xdr:colOff>
      <xdr:row>6</xdr:row>
      <xdr:rowOff>1669675</xdr:rowOff>
    </xdr:to>
    <xdr:sp macro="" textlink="">
      <xdr:nvSpPr>
        <xdr:cNvPr id="2" name="CuadroTexto 1">
          <a:extLst>
            <a:ext uri="{FF2B5EF4-FFF2-40B4-BE49-F238E27FC236}">
              <a16:creationId xmlns:a16="http://schemas.microsoft.com/office/drawing/2014/main" id="{4202ACFD-1738-47C6-8611-B1796B9A0115}"/>
            </a:ext>
          </a:extLst>
        </xdr:cNvPr>
        <xdr:cNvSpPr txBox="1"/>
      </xdr:nvSpPr>
      <xdr:spPr>
        <a:xfrm>
          <a:off x="152400" y="179293"/>
          <a:ext cx="12607737"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1400</xdr:colOff>
      <xdr:row>0</xdr:row>
      <xdr:rowOff>179293</xdr:rowOff>
    </xdr:from>
    <xdr:to>
      <xdr:col>6</xdr:col>
      <xdr:colOff>904875</xdr:colOff>
      <xdr:row>6</xdr:row>
      <xdr:rowOff>1669675</xdr:rowOff>
    </xdr:to>
    <xdr:sp macro="" textlink="">
      <xdr:nvSpPr>
        <xdr:cNvPr id="3" name="CuadroTexto 2">
          <a:extLst>
            <a:ext uri="{FF2B5EF4-FFF2-40B4-BE49-F238E27FC236}">
              <a16:creationId xmlns:a16="http://schemas.microsoft.com/office/drawing/2014/main" id="{D1FCD1D4-B9A0-4EBC-86B2-5AF38A9FF3F5}"/>
            </a:ext>
          </a:extLst>
        </xdr:cNvPr>
        <xdr:cNvSpPr txBox="1"/>
      </xdr:nvSpPr>
      <xdr:spPr>
        <a:xfrm>
          <a:off x="2706500" y="179293"/>
          <a:ext cx="5494525"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OFICINA ASESORA DE CONTROL INTERNO AUDITORÍA A LOS CONTRATOS </a:t>
          </a:r>
        </a:p>
      </xdr:txBody>
    </xdr:sp>
    <xdr:clientData/>
  </xdr:twoCellAnchor>
  <xdr:oneCellAnchor>
    <xdr:from>
      <xdr:col>1</xdr:col>
      <xdr:colOff>46692</xdr:colOff>
      <xdr:row>1</xdr:row>
      <xdr:rowOff>20916</xdr:rowOff>
    </xdr:from>
    <xdr:ext cx="2508029" cy="986812"/>
    <xdr:pic>
      <xdr:nvPicPr>
        <xdr:cNvPr id="4" name="Imagen 3">
          <a:extLst>
            <a:ext uri="{FF2B5EF4-FFF2-40B4-BE49-F238E27FC236}">
              <a16:creationId xmlns:a16="http://schemas.microsoft.com/office/drawing/2014/main" id="{A9C00408-B473-4289-869E-328AA765E5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092" y="201891"/>
          <a:ext cx="2508029" cy="986812"/>
        </a:xfrm>
        <a:prstGeom prst="rect">
          <a:avLst/>
        </a:prstGeom>
      </xdr:spPr>
    </xdr:pic>
    <xdr:clientData/>
  </xdr:oneCellAnchor>
  <xdr:twoCellAnchor>
    <xdr:from>
      <xdr:col>7</xdr:col>
      <xdr:colOff>1418292</xdr:colOff>
      <xdr:row>1</xdr:row>
      <xdr:rowOff>54534</xdr:rowOff>
    </xdr:from>
    <xdr:to>
      <xdr:col>9</xdr:col>
      <xdr:colOff>985409</xdr:colOff>
      <xdr:row>7</xdr:row>
      <xdr:rowOff>161139</xdr:rowOff>
    </xdr:to>
    <xdr:sp macro="" textlink="">
      <xdr:nvSpPr>
        <xdr:cNvPr id="5" name="Cuadro de texto 8">
          <a:extLst>
            <a:ext uri="{FF2B5EF4-FFF2-40B4-BE49-F238E27FC236}">
              <a16:creationId xmlns:a16="http://schemas.microsoft.com/office/drawing/2014/main" id="{9D24ABD4-8B27-4373-8667-22754A774DD1}"/>
            </a:ext>
          </a:extLst>
        </xdr:cNvPr>
        <xdr:cNvSpPr txBox="1">
          <a:spLocks noChangeArrowheads="1"/>
        </xdr:cNvSpPr>
      </xdr:nvSpPr>
      <xdr:spPr bwMode="auto">
        <a:xfrm>
          <a:off x="9952692" y="235509"/>
          <a:ext cx="2481767" cy="1192455"/>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MIPG VERSION 2 / APROBADO 02/05/2023 CÓDIGO ARCHIVÍSTICO - 100.21.01</a:t>
          </a:r>
          <a:endPar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8</xdr:col>
      <xdr:colOff>1279338</xdr:colOff>
      <xdr:row>2</xdr:row>
      <xdr:rowOff>177800</xdr:rowOff>
    </xdr:from>
    <xdr:to>
      <xdr:col>9</xdr:col>
      <xdr:colOff>974911</xdr:colOff>
      <xdr:row>4</xdr:row>
      <xdr:rowOff>67236</xdr:rowOff>
    </xdr:to>
    <xdr:sp macro="" textlink="">
      <xdr:nvSpPr>
        <xdr:cNvPr id="6" name="Cuadro de texto 17">
          <a:extLst>
            <a:ext uri="{FF2B5EF4-FFF2-40B4-BE49-F238E27FC236}">
              <a16:creationId xmlns:a16="http://schemas.microsoft.com/office/drawing/2014/main" id="{B9B05180-460E-4779-A2DA-0F43BFD982FA}"/>
            </a:ext>
          </a:extLst>
        </xdr:cNvPr>
        <xdr:cNvSpPr txBox="1">
          <a:spLocks noChangeArrowheads="1"/>
        </xdr:cNvSpPr>
      </xdr:nvSpPr>
      <xdr:spPr bwMode="auto">
        <a:xfrm>
          <a:off x="11271063" y="539750"/>
          <a:ext cx="1152898" cy="251386"/>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rgbClr val="7F7F7F"/>
              </a:solidFill>
              <a:effectLst/>
              <a:latin typeface="Arial" panose="020B0604020202020204" pitchFamily="34" charset="0"/>
              <a:ea typeface="Calibri" panose="020F0502020204030204" pitchFamily="34" charset="0"/>
              <a:cs typeface="Times New Roman" panose="02020603050405020304" pitchFamily="18" charset="0"/>
            </a:rPr>
            <a:t>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1234515</xdr:colOff>
      <xdr:row>3</xdr:row>
      <xdr:rowOff>32122</xdr:rowOff>
    </xdr:from>
    <xdr:to>
      <xdr:col>9</xdr:col>
      <xdr:colOff>1003674</xdr:colOff>
      <xdr:row>5</xdr:row>
      <xdr:rowOff>163285</xdr:rowOff>
    </xdr:to>
    <xdr:sp macro="" textlink="">
      <xdr:nvSpPr>
        <xdr:cNvPr id="7" name="Cuadro de texto 2">
          <a:extLst>
            <a:ext uri="{FF2B5EF4-FFF2-40B4-BE49-F238E27FC236}">
              <a16:creationId xmlns:a16="http://schemas.microsoft.com/office/drawing/2014/main" id="{8E1DBC58-6406-4A88-B8CF-21335F7B85DC}"/>
            </a:ext>
          </a:extLst>
        </xdr:cNvPr>
        <xdr:cNvSpPr txBox="1">
          <a:spLocks noChangeArrowheads="1"/>
        </xdr:cNvSpPr>
      </xdr:nvSpPr>
      <xdr:spPr bwMode="auto">
        <a:xfrm>
          <a:off x="8530665" y="575047"/>
          <a:ext cx="3922059" cy="493113"/>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00000"/>
            </a:lnSpc>
            <a:spcAft>
              <a:spcPts val="0"/>
            </a:spcAft>
          </a:pPr>
          <a:r>
            <a:rPr lang="es-CO" sz="900" spc="-15">
              <a:solidFill>
                <a:srgbClr val="3B3838"/>
              </a:solidFill>
              <a:effectLst/>
              <a:latin typeface="Arial" panose="020B0604020202020204" pitchFamily="34" charset="0"/>
              <a:ea typeface="Calibri" panose="020F0502020204030204" pitchFamily="34" charset="0"/>
              <a:cs typeface="Times New Roman" panose="02020603050405020304" pitchFamily="18" charset="0"/>
            </a:rPr>
            <a:t>FONDO DE DESARROLLO SOCIAL DEL MUNICIPIO DE EL RETIRO</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NIT 900.198.194-5</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GERENCIA / AUDITORÍAS</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ES" sz="1200">
              <a:effectLst/>
              <a:latin typeface="Calibri" panose="020F0502020204030204" pitchFamily="34" charset="0"/>
              <a:ea typeface="Calibri" panose="020F0502020204030204" pitchFamily="34" charset="0"/>
              <a:cs typeface="Calibri" panose="020F0502020204030204" pitchFamily="34" charset="0"/>
            </a:rPr>
            <a:t> </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179293</xdr:rowOff>
    </xdr:from>
    <xdr:to>
      <xdr:col>9</xdr:col>
      <xdr:colOff>1311087</xdr:colOff>
      <xdr:row>6</xdr:row>
      <xdr:rowOff>1669675</xdr:rowOff>
    </xdr:to>
    <xdr:sp macro="" textlink="">
      <xdr:nvSpPr>
        <xdr:cNvPr id="2" name="CuadroTexto 1">
          <a:extLst>
            <a:ext uri="{FF2B5EF4-FFF2-40B4-BE49-F238E27FC236}">
              <a16:creationId xmlns:a16="http://schemas.microsoft.com/office/drawing/2014/main" id="{5806074B-644D-45E2-9BF5-3BA576CA1C47}"/>
            </a:ext>
          </a:extLst>
        </xdr:cNvPr>
        <xdr:cNvSpPr txBox="1"/>
      </xdr:nvSpPr>
      <xdr:spPr>
        <a:xfrm>
          <a:off x="152400" y="179293"/>
          <a:ext cx="12607737"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1400</xdr:colOff>
      <xdr:row>0</xdr:row>
      <xdr:rowOff>179293</xdr:rowOff>
    </xdr:from>
    <xdr:to>
      <xdr:col>6</xdr:col>
      <xdr:colOff>904875</xdr:colOff>
      <xdr:row>6</xdr:row>
      <xdr:rowOff>1669675</xdr:rowOff>
    </xdr:to>
    <xdr:sp macro="" textlink="">
      <xdr:nvSpPr>
        <xdr:cNvPr id="3" name="CuadroTexto 2">
          <a:extLst>
            <a:ext uri="{FF2B5EF4-FFF2-40B4-BE49-F238E27FC236}">
              <a16:creationId xmlns:a16="http://schemas.microsoft.com/office/drawing/2014/main" id="{F1579CDF-D9B9-424F-8287-5D83B435AE44}"/>
            </a:ext>
          </a:extLst>
        </xdr:cNvPr>
        <xdr:cNvSpPr txBox="1"/>
      </xdr:nvSpPr>
      <xdr:spPr>
        <a:xfrm>
          <a:off x="2706500" y="179293"/>
          <a:ext cx="5494525" cy="1090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OFICINA ASESORA DE CONTROL INTERNO AUDITORÍA A LOS CONTRATOS </a:t>
          </a:r>
        </a:p>
      </xdr:txBody>
    </xdr:sp>
    <xdr:clientData/>
  </xdr:twoCellAnchor>
  <xdr:oneCellAnchor>
    <xdr:from>
      <xdr:col>1</xdr:col>
      <xdr:colOff>46692</xdr:colOff>
      <xdr:row>1</xdr:row>
      <xdr:rowOff>20916</xdr:rowOff>
    </xdr:from>
    <xdr:ext cx="2508029" cy="986812"/>
    <xdr:pic>
      <xdr:nvPicPr>
        <xdr:cNvPr id="4" name="Imagen 3">
          <a:extLst>
            <a:ext uri="{FF2B5EF4-FFF2-40B4-BE49-F238E27FC236}">
              <a16:creationId xmlns:a16="http://schemas.microsoft.com/office/drawing/2014/main" id="{6FE39305-67DC-4832-BF68-D449B610D6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092" y="201891"/>
          <a:ext cx="2508029" cy="986812"/>
        </a:xfrm>
        <a:prstGeom prst="rect">
          <a:avLst/>
        </a:prstGeom>
      </xdr:spPr>
    </xdr:pic>
    <xdr:clientData/>
  </xdr:oneCellAnchor>
  <xdr:twoCellAnchor>
    <xdr:from>
      <xdr:col>7</xdr:col>
      <xdr:colOff>1418292</xdr:colOff>
      <xdr:row>1</xdr:row>
      <xdr:rowOff>54534</xdr:rowOff>
    </xdr:from>
    <xdr:to>
      <xdr:col>9</xdr:col>
      <xdr:colOff>985409</xdr:colOff>
      <xdr:row>7</xdr:row>
      <xdr:rowOff>161139</xdr:rowOff>
    </xdr:to>
    <xdr:sp macro="" textlink="">
      <xdr:nvSpPr>
        <xdr:cNvPr id="5" name="Cuadro de texto 8">
          <a:extLst>
            <a:ext uri="{FF2B5EF4-FFF2-40B4-BE49-F238E27FC236}">
              <a16:creationId xmlns:a16="http://schemas.microsoft.com/office/drawing/2014/main" id="{B94F58D4-6C41-4B81-80D6-52AF32C53338}"/>
            </a:ext>
          </a:extLst>
        </xdr:cNvPr>
        <xdr:cNvSpPr txBox="1">
          <a:spLocks noChangeArrowheads="1"/>
        </xdr:cNvSpPr>
      </xdr:nvSpPr>
      <xdr:spPr bwMode="auto">
        <a:xfrm>
          <a:off x="9952692" y="235509"/>
          <a:ext cx="2481767" cy="1192455"/>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MIPG VERSION 2 / APROBADO 02/05/2023 CÓDIGO ARCHIVÍSTICO - 100.21.01</a:t>
          </a:r>
          <a:endPar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CO"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8</xdr:col>
      <xdr:colOff>1279338</xdr:colOff>
      <xdr:row>2</xdr:row>
      <xdr:rowOff>177800</xdr:rowOff>
    </xdr:from>
    <xdr:to>
      <xdr:col>9</xdr:col>
      <xdr:colOff>974911</xdr:colOff>
      <xdr:row>4</xdr:row>
      <xdr:rowOff>67236</xdr:rowOff>
    </xdr:to>
    <xdr:sp macro="" textlink="">
      <xdr:nvSpPr>
        <xdr:cNvPr id="6" name="Cuadro de texto 17">
          <a:extLst>
            <a:ext uri="{FF2B5EF4-FFF2-40B4-BE49-F238E27FC236}">
              <a16:creationId xmlns:a16="http://schemas.microsoft.com/office/drawing/2014/main" id="{ECF6B576-50FE-4D85-A87E-4DE740380808}"/>
            </a:ext>
          </a:extLst>
        </xdr:cNvPr>
        <xdr:cNvSpPr txBox="1">
          <a:spLocks noChangeArrowheads="1"/>
        </xdr:cNvSpPr>
      </xdr:nvSpPr>
      <xdr:spPr bwMode="auto">
        <a:xfrm>
          <a:off x="11271063" y="539750"/>
          <a:ext cx="1152898" cy="251386"/>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15000"/>
            </a:lnSpc>
            <a:spcAft>
              <a:spcPts val="1000"/>
            </a:spcAft>
          </a:pPr>
          <a:r>
            <a:rPr lang="es-CO" sz="900">
              <a:solidFill>
                <a:srgbClr val="7F7F7F"/>
              </a:solidFill>
              <a:effectLst/>
              <a:latin typeface="Arial" panose="020B0604020202020204" pitchFamily="34" charset="0"/>
              <a:ea typeface="Calibri" panose="020F0502020204030204" pitchFamily="34" charset="0"/>
              <a:cs typeface="Times New Roman" panose="02020603050405020304" pitchFamily="18" charset="0"/>
            </a:rPr>
            <a:t>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1234515</xdr:colOff>
      <xdr:row>3</xdr:row>
      <xdr:rowOff>32122</xdr:rowOff>
    </xdr:from>
    <xdr:to>
      <xdr:col>9</xdr:col>
      <xdr:colOff>1003674</xdr:colOff>
      <xdr:row>5</xdr:row>
      <xdr:rowOff>163285</xdr:rowOff>
    </xdr:to>
    <xdr:sp macro="" textlink="">
      <xdr:nvSpPr>
        <xdr:cNvPr id="7" name="Cuadro de texto 2">
          <a:extLst>
            <a:ext uri="{FF2B5EF4-FFF2-40B4-BE49-F238E27FC236}">
              <a16:creationId xmlns:a16="http://schemas.microsoft.com/office/drawing/2014/main" id="{677F6DE8-F00F-4FEC-B470-6ECBBF587EDC}"/>
            </a:ext>
          </a:extLst>
        </xdr:cNvPr>
        <xdr:cNvSpPr txBox="1">
          <a:spLocks noChangeArrowheads="1"/>
        </xdr:cNvSpPr>
      </xdr:nvSpPr>
      <xdr:spPr bwMode="auto">
        <a:xfrm>
          <a:off x="8530665" y="575047"/>
          <a:ext cx="3922059" cy="493113"/>
        </a:xfrm>
        <a:prstGeom prst="rect">
          <a:avLst/>
        </a:prstGeom>
        <a:noFill/>
        <a:ln w="9525">
          <a:noFill/>
          <a:miter lim="800000"/>
          <a:headEnd/>
          <a:tailEnd/>
        </a:ln>
      </xdr:spPr>
      <xdr:txBody>
        <a:bodyPr rot="0" vert="horz" wrap="square" lIns="91440" tIns="45720" rIns="91440" bIns="45720" anchor="t" anchorCtr="0">
          <a:noAutofit/>
        </a:bodyPr>
        <a:lstStyle/>
        <a:p>
          <a:pPr algn="r">
            <a:lnSpc>
              <a:spcPct val="100000"/>
            </a:lnSpc>
            <a:spcAft>
              <a:spcPts val="0"/>
            </a:spcAft>
          </a:pPr>
          <a:r>
            <a:rPr lang="es-CO" sz="900" spc="-15">
              <a:solidFill>
                <a:srgbClr val="3B3838"/>
              </a:solidFill>
              <a:effectLst/>
              <a:latin typeface="Arial" panose="020B0604020202020204" pitchFamily="34" charset="0"/>
              <a:ea typeface="Calibri" panose="020F0502020204030204" pitchFamily="34" charset="0"/>
              <a:cs typeface="Times New Roman" panose="02020603050405020304" pitchFamily="18" charset="0"/>
            </a:rPr>
            <a:t>FONDO DE DESARROLLO SOCIAL DEL MUNICIPIO DE EL RETIRO</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NIT 900.198.194-5</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00000"/>
            </a:lnSpc>
            <a:spcAft>
              <a:spcPts val="0"/>
            </a:spcAft>
          </a:pPr>
          <a:r>
            <a:rPr lang="es-CO" sz="900">
              <a:solidFill>
                <a:srgbClr val="3B3838"/>
              </a:solidFill>
              <a:effectLst/>
              <a:latin typeface="Arial" panose="020B0604020202020204" pitchFamily="34" charset="0"/>
              <a:ea typeface="Calibri" panose="020F0502020204030204" pitchFamily="34" charset="0"/>
              <a:cs typeface="Times New Roman" panose="02020603050405020304" pitchFamily="18" charset="0"/>
            </a:rPr>
            <a:t>GERENCIA / AUDITORÍAS</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a:p>
          <a:pPr algn="r">
            <a:lnSpc>
              <a:spcPct val="115000"/>
            </a:lnSpc>
            <a:spcAft>
              <a:spcPts val="1000"/>
            </a:spcAft>
          </a:pPr>
          <a:r>
            <a:rPr lang="es-ES" sz="1200">
              <a:effectLst/>
              <a:latin typeface="Calibri" panose="020F0502020204030204" pitchFamily="34" charset="0"/>
              <a:ea typeface="Calibri" panose="020F0502020204030204" pitchFamily="34" charset="0"/>
              <a:cs typeface="Calibri" panose="020F0502020204030204" pitchFamily="34" charset="0"/>
            </a:rPr>
            <a:t> </a:t>
          </a:r>
          <a:endParaRPr lang="es-CO"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rolinterno@fondeser.c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trolinterno@fondeser.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ontrolinterno@fondeser.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ontrolinterno@fondeser.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ontrolinterno@fondeser.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6:T156"/>
  <sheetViews>
    <sheetView zoomScale="55" zoomScaleNormal="55" workbookViewId="0">
      <pane ySplit="17" topLeftCell="A18" activePane="bottomLeft" state="frozen"/>
      <selection pane="bottomLeft" activeCell="M18" sqref="M18"/>
    </sheetView>
  </sheetViews>
  <sheetFormatPr baseColWidth="10" defaultColWidth="11.375" defaultRowHeight="15"/>
  <cols>
    <col min="1" max="1" width="2.25" style="1" customWidth="1"/>
    <col min="2" max="2" width="20.875" style="1" customWidth="1"/>
    <col min="3" max="3" width="9.25" style="1" customWidth="1"/>
    <col min="4" max="6" width="9.25" style="6" customWidth="1"/>
    <col min="7" max="7" width="18.625" style="5" customWidth="1"/>
    <col min="8" max="8" width="39.625" style="4" bestFit="1" customWidth="1"/>
    <col min="9" max="9" width="20.125" style="3" customWidth="1"/>
    <col min="10" max="10" width="11.75" style="1" bestFit="1" customWidth="1"/>
    <col min="11" max="11" width="20.125" style="67" customWidth="1"/>
    <col min="12" max="12" width="39.5" style="1" bestFit="1" customWidth="1"/>
    <col min="13" max="13" width="16.125" style="1" customWidth="1"/>
    <col min="14" max="14" width="31.25" style="1" customWidth="1"/>
    <col min="15" max="15" width="21.625" style="3" customWidth="1"/>
    <col min="16" max="16" width="25.25" style="3" customWidth="1"/>
    <col min="17" max="17" width="17.75" style="2" customWidth="1"/>
    <col min="18" max="18" width="24" style="1" customWidth="1"/>
    <col min="19" max="19" width="12.75" style="2" customWidth="1"/>
    <col min="20" max="20" width="12.125" style="1" bestFit="1" customWidth="1"/>
    <col min="21" max="16384" width="11.375" style="1"/>
  </cols>
  <sheetData>
    <row r="6" spans="2:19">
      <c r="L6" s="74"/>
      <c r="M6" s="3"/>
    </row>
    <row r="7" spans="2:19" ht="42.75" customHeight="1">
      <c r="S7" s="66"/>
    </row>
    <row r="8" spans="2:19" customFormat="1" ht="20.25">
      <c r="G8" s="85" t="s">
        <v>85</v>
      </c>
      <c r="H8" s="85"/>
      <c r="I8" s="85"/>
      <c r="J8" s="85"/>
      <c r="K8" s="68"/>
      <c r="O8" s="15"/>
      <c r="P8" s="15"/>
      <c r="Q8" s="14"/>
      <c r="S8" s="14"/>
    </row>
    <row r="9" spans="2:19">
      <c r="B9" s="18" t="s">
        <v>84</v>
      </c>
      <c r="C9" s="86" t="s">
        <v>301</v>
      </c>
      <c r="D9" s="87"/>
      <c r="E9" s="87"/>
      <c r="F9" s="88"/>
      <c r="G9" s="89" t="s">
        <v>83</v>
      </c>
      <c r="H9" s="89"/>
      <c r="I9" s="89"/>
      <c r="J9" s="89"/>
      <c r="L9" s="3"/>
    </row>
    <row r="10" spans="2:19">
      <c r="B10" s="18" t="s">
        <v>82</v>
      </c>
      <c r="C10" s="86" t="s">
        <v>81</v>
      </c>
      <c r="D10" s="87"/>
      <c r="E10" s="87"/>
      <c r="F10" s="88"/>
      <c r="G10" s="89" t="s">
        <v>80</v>
      </c>
      <c r="H10" s="89"/>
      <c r="I10" s="89"/>
      <c r="J10" s="89"/>
      <c r="M10" s="3"/>
    </row>
    <row r="11" spans="2:19">
      <c r="B11" s="18" t="s">
        <v>79</v>
      </c>
      <c r="C11" s="86" t="s">
        <v>78</v>
      </c>
      <c r="D11" s="87"/>
      <c r="E11" s="87"/>
      <c r="F11" s="88"/>
      <c r="G11" s="89" t="s">
        <v>77</v>
      </c>
      <c r="H11" s="89"/>
      <c r="I11" s="89"/>
      <c r="J11" s="89"/>
    </row>
    <row r="12" spans="2:19">
      <c r="B12" s="18" t="s">
        <v>76</v>
      </c>
      <c r="C12" s="86">
        <v>3122603704</v>
      </c>
      <c r="D12" s="87"/>
      <c r="E12" s="87"/>
      <c r="F12" s="88"/>
      <c r="G12" s="10"/>
      <c r="H12" s="10"/>
      <c r="I12" s="17"/>
      <c r="J12" s="10"/>
    </row>
    <row r="13" spans="2:19">
      <c r="B13" s="18" t="s">
        <v>75</v>
      </c>
      <c r="C13" s="92" t="s">
        <v>74</v>
      </c>
      <c r="D13" s="87"/>
      <c r="E13" s="87"/>
      <c r="F13" s="88"/>
      <c r="G13" s="10"/>
      <c r="H13" s="10"/>
      <c r="I13" s="17"/>
      <c r="J13" s="10"/>
    </row>
    <row r="14" spans="2:19" customFormat="1">
      <c r="H14" s="16"/>
      <c r="I14" s="15"/>
      <c r="K14" s="68"/>
      <c r="O14" s="15"/>
      <c r="P14" s="15"/>
      <c r="Q14" s="14"/>
      <c r="S14" s="14"/>
    </row>
    <row r="15" spans="2:19" s="11" customFormat="1" ht="15.75">
      <c r="B15" s="99" t="s">
        <v>73</v>
      </c>
      <c r="C15" s="99" t="s">
        <v>72</v>
      </c>
      <c r="D15" s="99" t="s">
        <v>71</v>
      </c>
      <c r="E15" s="99" t="s">
        <v>70</v>
      </c>
      <c r="F15" s="93" t="s">
        <v>69</v>
      </c>
      <c r="G15" s="93" t="s">
        <v>68</v>
      </c>
      <c r="H15" s="95" t="s">
        <v>67</v>
      </c>
      <c r="I15" s="97" t="s">
        <v>66</v>
      </c>
      <c r="J15" s="95" t="s">
        <v>65</v>
      </c>
      <c r="K15" s="95"/>
      <c r="L15" s="83" t="s">
        <v>64</v>
      </c>
      <c r="M15" s="90" t="s">
        <v>63</v>
      </c>
      <c r="N15" s="83" t="s">
        <v>62</v>
      </c>
      <c r="O15" s="101" t="s">
        <v>61</v>
      </c>
      <c r="P15" s="101" t="s">
        <v>60</v>
      </c>
      <c r="Q15" s="83" t="s">
        <v>59</v>
      </c>
      <c r="R15" s="83" t="s">
        <v>58</v>
      </c>
      <c r="S15" s="83" t="s">
        <v>207</v>
      </c>
    </row>
    <row r="16" spans="2:19" s="11" customFormat="1" ht="15.75">
      <c r="B16" s="100"/>
      <c r="C16" s="100"/>
      <c r="D16" s="100"/>
      <c r="E16" s="100"/>
      <c r="F16" s="94"/>
      <c r="G16" s="94"/>
      <c r="H16" s="96"/>
      <c r="I16" s="98"/>
      <c r="J16" s="81" t="s">
        <v>57</v>
      </c>
      <c r="K16" s="81" t="s">
        <v>56</v>
      </c>
      <c r="L16" s="84"/>
      <c r="M16" s="91"/>
      <c r="N16" s="84"/>
      <c r="O16" s="102"/>
      <c r="P16" s="102"/>
      <c r="Q16" s="84"/>
      <c r="R16" s="84"/>
      <c r="S16" s="84"/>
    </row>
    <row r="17" spans="2:20" s="11" customFormat="1" ht="15.75">
      <c r="B17" s="78"/>
      <c r="C17" s="78"/>
      <c r="D17" s="78"/>
      <c r="E17" s="78"/>
      <c r="F17" s="79"/>
      <c r="G17" s="79"/>
      <c r="H17" s="81"/>
      <c r="I17" s="82"/>
      <c r="J17" s="81"/>
      <c r="K17" s="81"/>
      <c r="L17" s="76"/>
      <c r="M17" s="80"/>
      <c r="N17" s="76"/>
      <c r="O17" s="77"/>
      <c r="P17" s="77"/>
      <c r="Q17" s="76"/>
      <c r="R17" s="76"/>
      <c r="S17" s="76"/>
    </row>
    <row r="18" spans="2:20" ht="185.25">
      <c r="B18" s="20" t="s">
        <v>86</v>
      </c>
      <c r="C18" s="20" t="s">
        <v>86</v>
      </c>
      <c r="D18" s="20" t="s">
        <v>87</v>
      </c>
      <c r="E18" s="8" t="s">
        <v>88</v>
      </c>
      <c r="F18" s="8" t="s">
        <v>89</v>
      </c>
      <c r="G18" s="8" t="str">
        <f>TEXT(ROW(A1),"000")&amp;"-2025"</f>
        <v>001-2025</v>
      </c>
      <c r="H18" s="8" t="s">
        <v>90</v>
      </c>
      <c r="I18" s="21">
        <v>888639388</v>
      </c>
      <c r="J18" s="20" t="s">
        <v>91</v>
      </c>
      <c r="K18" s="69" t="s">
        <v>92</v>
      </c>
      <c r="L18" s="37" t="s">
        <v>14</v>
      </c>
      <c r="M18" s="38" t="s">
        <v>2</v>
      </c>
      <c r="N18" s="37" t="s">
        <v>93</v>
      </c>
      <c r="O18" s="21">
        <f>382286090+505722273</f>
        <v>888008363</v>
      </c>
      <c r="P18" s="21">
        <f t="shared" ref="P18:P81" si="0">I18-O18</f>
        <v>631025</v>
      </c>
      <c r="Q18" s="36" t="s">
        <v>208</v>
      </c>
      <c r="R18" s="32" t="s">
        <v>349</v>
      </c>
      <c r="S18" s="56" t="s">
        <v>18</v>
      </c>
      <c r="T18" s="10" t="s">
        <v>302</v>
      </c>
    </row>
    <row r="19" spans="2:20" ht="185.25">
      <c r="B19" s="20" t="s">
        <v>86</v>
      </c>
      <c r="C19" s="20" t="s">
        <v>86</v>
      </c>
      <c r="D19" s="20" t="s">
        <v>87</v>
      </c>
      <c r="E19" s="8" t="s">
        <v>88</v>
      </c>
      <c r="F19" s="8" t="s">
        <v>89</v>
      </c>
      <c r="G19" s="8" t="str">
        <f>TEXT(ROW(A2),"000")&amp;"-2025"</f>
        <v>002-2025</v>
      </c>
      <c r="H19" s="57" t="s">
        <v>94</v>
      </c>
      <c r="I19" s="21">
        <v>62199958</v>
      </c>
      <c r="J19" s="20" t="s">
        <v>91</v>
      </c>
      <c r="K19" s="20" t="s">
        <v>95</v>
      </c>
      <c r="L19" s="37" t="s">
        <v>17</v>
      </c>
      <c r="M19" s="38" t="s">
        <v>2</v>
      </c>
      <c r="N19" s="37" t="s">
        <v>96</v>
      </c>
      <c r="O19" s="21">
        <v>62155790</v>
      </c>
      <c r="P19" s="21">
        <f t="shared" si="0"/>
        <v>44168</v>
      </c>
      <c r="Q19" s="36" t="s">
        <v>208</v>
      </c>
      <c r="R19" s="32" t="s">
        <v>350</v>
      </c>
      <c r="S19" s="56" t="s">
        <v>5</v>
      </c>
      <c r="T19" s="10" t="s">
        <v>302</v>
      </c>
    </row>
    <row r="20" spans="2:20" ht="342">
      <c r="B20" s="20" t="s">
        <v>86</v>
      </c>
      <c r="C20" s="20" t="s">
        <v>86</v>
      </c>
      <c r="D20" s="20" t="s">
        <v>87</v>
      </c>
      <c r="E20" s="8" t="s">
        <v>88</v>
      </c>
      <c r="F20" s="8" t="s">
        <v>89</v>
      </c>
      <c r="G20" s="8" t="str">
        <f>TEXT(ROW(A3),"000")&amp;"-2025"</f>
        <v>003-2025</v>
      </c>
      <c r="H20" s="58" t="s">
        <v>97</v>
      </c>
      <c r="I20" s="21">
        <v>41047500</v>
      </c>
      <c r="J20" s="8" t="s">
        <v>98</v>
      </c>
      <c r="K20" s="69" t="s">
        <v>99</v>
      </c>
      <c r="L20" s="37" t="s">
        <v>3</v>
      </c>
      <c r="M20" s="38" t="s">
        <v>2</v>
      </c>
      <c r="N20" s="37" t="s">
        <v>100</v>
      </c>
      <c r="O20" s="21">
        <f>6841250*6</f>
        <v>41047500</v>
      </c>
      <c r="P20" s="21">
        <f t="shared" si="0"/>
        <v>0</v>
      </c>
      <c r="Q20" s="36" t="s">
        <v>273</v>
      </c>
      <c r="R20" s="32" t="s">
        <v>351</v>
      </c>
      <c r="S20" s="36" t="s">
        <v>18</v>
      </c>
    </row>
    <row r="21" spans="2:20" ht="342">
      <c r="B21" s="20" t="s">
        <v>86</v>
      </c>
      <c r="C21" s="20" t="s">
        <v>86</v>
      </c>
      <c r="D21" s="20" t="s">
        <v>87</v>
      </c>
      <c r="E21" s="8" t="s">
        <v>88</v>
      </c>
      <c r="F21" s="8" t="s">
        <v>89</v>
      </c>
      <c r="G21" s="8" t="str">
        <f t="shared" ref="G21:G81" si="1">TEXT(ROW(A4),"000")&amp;"-2025"</f>
        <v>004-2025</v>
      </c>
      <c r="H21" s="43" t="s">
        <v>101</v>
      </c>
      <c r="I21" s="21">
        <v>29731020</v>
      </c>
      <c r="J21" s="8" t="s">
        <v>102</v>
      </c>
      <c r="K21" s="69" t="s">
        <v>99</v>
      </c>
      <c r="L21" s="37" t="s">
        <v>3</v>
      </c>
      <c r="M21" s="38" t="s">
        <v>2</v>
      </c>
      <c r="N21" s="37" t="s">
        <v>103</v>
      </c>
      <c r="O21" s="21">
        <f>4955170*6</f>
        <v>29731020</v>
      </c>
      <c r="P21" s="21">
        <f t="shared" si="0"/>
        <v>0</v>
      </c>
      <c r="Q21" s="36" t="s">
        <v>273</v>
      </c>
      <c r="R21" s="32" t="s">
        <v>352</v>
      </c>
      <c r="S21" s="36" t="s">
        <v>18</v>
      </c>
    </row>
    <row r="22" spans="2:20" ht="342">
      <c r="B22" s="20" t="s">
        <v>86</v>
      </c>
      <c r="C22" s="20" t="s">
        <v>86</v>
      </c>
      <c r="D22" s="20" t="s">
        <v>87</v>
      </c>
      <c r="E22" s="8" t="s">
        <v>88</v>
      </c>
      <c r="F22" s="8" t="s">
        <v>89</v>
      </c>
      <c r="G22" s="8" t="str">
        <f t="shared" si="1"/>
        <v>005-2025</v>
      </c>
      <c r="H22" s="57" t="s">
        <v>104</v>
      </c>
      <c r="I22" s="21">
        <v>32522250</v>
      </c>
      <c r="J22" s="8" t="s">
        <v>98</v>
      </c>
      <c r="K22" s="69" t="s">
        <v>99</v>
      </c>
      <c r="L22" s="37" t="s">
        <v>3</v>
      </c>
      <c r="M22" s="38" t="s">
        <v>2</v>
      </c>
      <c r="N22" s="37" t="s">
        <v>105</v>
      </c>
      <c r="O22" s="21">
        <f>5420375*6</f>
        <v>32522250</v>
      </c>
      <c r="P22" s="21">
        <f t="shared" si="0"/>
        <v>0</v>
      </c>
      <c r="Q22" s="36" t="s">
        <v>273</v>
      </c>
      <c r="R22" s="32" t="s">
        <v>353</v>
      </c>
      <c r="S22" s="36" t="s">
        <v>18</v>
      </c>
    </row>
    <row r="23" spans="2:20" ht="342">
      <c r="B23" s="20" t="s">
        <v>86</v>
      </c>
      <c r="C23" s="20" t="s">
        <v>86</v>
      </c>
      <c r="D23" s="20" t="s">
        <v>87</v>
      </c>
      <c r="E23" s="8" t="s">
        <v>88</v>
      </c>
      <c r="F23" s="8" t="s">
        <v>89</v>
      </c>
      <c r="G23" s="8" t="str">
        <f t="shared" si="1"/>
        <v>006-2025</v>
      </c>
      <c r="H23" s="8" t="s">
        <v>106</v>
      </c>
      <c r="I23" s="21">
        <v>18700000</v>
      </c>
      <c r="J23" s="8" t="s">
        <v>98</v>
      </c>
      <c r="K23" s="69" t="s">
        <v>99</v>
      </c>
      <c r="L23" s="37" t="s">
        <v>3</v>
      </c>
      <c r="M23" s="38" t="s">
        <v>2</v>
      </c>
      <c r="N23" s="42" t="s">
        <v>107</v>
      </c>
      <c r="O23" s="21">
        <f>1700000+(3400000*5)</f>
        <v>18700000</v>
      </c>
      <c r="P23" s="21">
        <f t="shared" si="0"/>
        <v>0</v>
      </c>
      <c r="Q23" s="36" t="s">
        <v>273</v>
      </c>
      <c r="R23" s="32" t="s">
        <v>354</v>
      </c>
      <c r="S23" s="36" t="s">
        <v>18</v>
      </c>
    </row>
    <row r="24" spans="2:20" ht="185.25">
      <c r="B24" s="20" t="s">
        <v>86</v>
      </c>
      <c r="C24" s="20" t="s">
        <v>86</v>
      </c>
      <c r="D24" s="20" t="s">
        <v>87</v>
      </c>
      <c r="E24" s="8" t="s">
        <v>88</v>
      </c>
      <c r="F24" s="8" t="s">
        <v>89</v>
      </c>
      <c r="G24" s="8" t="str">
        <f t="shared" si="1"/>
        <v>007-2025</v>
      </c>
      <c r="H24" s="8" t="s">
        <v>139</v>
      </c>
      <c r="I24" s="21">
        <v>436654600</v>
      </c>
      <c r="J24" s="8" t="s">
        <v>140</v>
      </c>
      <c r="K24" s="20" t="s">
        <v>95</v>
      </c>
      <c r="L24" s="37" t="s">
        <v>14</v>
      </c>
      <c r="M24" s="38" t="s">
        <v>2</v>
      </c>
      <c r="N24" s="42" t="s">
        <v>141</v>
      </c>
      <c r="O24" s="21">
        <v>197619779</v>
      </c>
      <c r="P24" s="21">
        <f t="shared" si="0"/>
        <v>239034821</v>
      </c>
      <c r="Q24" s="36" t="s">
        <v>208</v>
      </c>
      <c r="R24" s="32" t="s">
        <v>350</v>
      </c>
      <c r="S24" s="36" t="s">
        <v>5</v>
      </c>
      <c r="T24" s="1" t="s">
        <v>302</v>
      </c>
    </row>
    <row r="25" spans="2:20" ht="342">
      <c r="B25" s="20" t="s">
        <v>86</v>
      </c>
      <c r="C25" s="20" t="s">
        <v>86</v>
      </c>
      <c r="D25" s="20" t="s">
        <v>87</v>
      </c>
      <c r="E25" s="8" t="s">
        <v>88</v>
      </c>
      <c r="F25" s="8" t="s">
        <v>89</v>
      </c>
      <c r="G25" s="8" t="str">
        <f t="shared" si="1"/>
        <v>008-2025</v>
      </c>
      <c r="H25" s="8" t="s">
        <v>142</v>
      </c>
      <c r="I25" s="21">
        <v>15375140</v>
      </c>
      <c r="J25" s="8" t="s">
        <v>98</v>
      </c>
      <c r="K25" s="69" t="s">
        <v>99</v>
      </c>
      <c r="L25" s="37" t="s">
        <v>3</v>
      </c>
      <c r="M25" s="38" t="s">
        <v>2</v>
      </c>
      <c r="N25" s="42" t="s">
        <v>348</v>
      </c>
      <c r="O25" s="21">
        <f>1397740+(2795480*5)</f>
        <v>15375140</v>
      </c>
      <c r="P25" s="21">
        <f t="shared" si="0"/>
        <v>0</v>
      </c>
      <c r="Q25" s="36" t="s">
        <v>273</v>
      </c>
      <c r="R25" s="32" t="s">
        <v>355</v>
      </c>
      <c r="S25" s="36" t="s">
        <v>18</v>
      </c>
    </row>
    <row r="26" spans="2:20" ht="342">
      <c r="B26" s="20" t="s">
        <v>86</v>
      </c>
      <c r="C26" s="20" t="s">
        <v>86</v>
      </c>
      <c r="D26" s="20" t="s">
        <v>87</v>
      </c>
      <c r="E26" s="8" t="s">
        <v>88</v>
      </c>
      <c r="F26" s="8" t="s">
        <v>89</v>
      </c>
      <c r="G26" s="8" t="str">
        <f t="shared" si="1"/>
        <v>009-2025</v>
      </c>
      <c r="H26" s="8" t="s">
        <v>108</v>
      </c>
      <c r="I26" s="21">
        <v>21013162</v>
      </c>
      <c r="J26" s="8" t="s">
        <v>109</v>
      </c>
      <c r="K26" s="69" t="s">
        <v>99</v>
      </c>
      <c r="L26" s="37" t="s">
        <v>3</v>
      </c>
      <c r="M26" s="38" t="s">
        <v>2</v>
      </c>
      <c r="N26" s="37" t="s">
        <v>110</v>
      </c>
      <c r="O26" s="21">
        <f>1910287.5+(3820574.9*5)</f>
        <v>21013162</v>
      </c>
      <c r="P26" s="21">
        <f t="shared" si="0"/>
        <v>0</v>
      </c>
      <c r="Q26" s="36" t="s">
        <v>273</v>
      </c>
      <c r="R26" s="32" t="s">
        <v>356</v>
      </c>
      <c r="S26" s="36" t="s">
        <v>18</v>
      </c>
    </row>
    <row r="27" spans="2:20" ht="342">
      <c r="B27" s="20" t="s">
        <v>86</v>
      </c>
      <c r="C27" s="20" t="s">
        <v>86</v>
      </c>
      <c r="D27" s="20" t="s">
        <v>87</v>
      </c>
      <c r="E27" s="8" t="s">
        <v>88</v>
      </c>
      <c r="F27" s="8" t="s">
        <v>89</v>
      </c>
      <c r="G27" s="8" t="str">
        <f t="shared" si="1"/>
        <v>010-2025</v>
      </c>
      <c r="H27" s="43" t="s">
        <v>111</v>
      </c>
      <c r="I27" s="21">
        <v>12885968</v>
      </c>
      <c r="J27" s="8" t="s">
        <v>112</v>
      </c>
      <c r="K27" s="69" t="s">
        <v>99</v>
      </c>
      <c r="L27" s="37" t="s">
        <v>3</v>
      </c>
      <c r="M27" s="38" t="s">
        <v>2</v>
      </c>
      <c r="N27" s="37" t="s">
        <v>113</v>
      </c>
      <c r="O27" s="21">
        <f>805373+(2416119*5)</f>
        <v>12885968</v>
      </c>
      <c r="P27" s="21">
        <f t="shared" si="0"/>
        <v>0</v>
      </c>
      <c r="Q27" s="36" t="s">
        <v>273</v>
      </c>
      <c r="R27" s="32" t="s">
        <v>357</v>
      </c>
      <c r="S27" s="36" t="s">
        <v>18</v>
      </c>
    </row>
    <row r="28" spans="2:20" ht="270.75">
      <c r="B28" s="20" t="s">
        <v>86</v>
      </c>
      <c r="C28" s="20" t="s">
        <v>86</v>
      </c>
      <c r="D28" s="20" t="s">
        <v>87</v>
      </c>
      <c r="E28" s="8" t="s">
        <v>88</v>
      </c>
      <c r="F28" s="8" t="s">
        <v>89</v>
      </c>
      <c r="G28" s="8" t="str">
        <f t="shared" si="1"/>
        <v>011-2025</v>
      </c>
      <c r="H28" s="41" t="s">
        <v>114</v>
      </c>
      <c r="I28" s="22">
        <v>14000000</v>
      </c>
      <c r="J28" s="8" t="s">
        <v>115</v>
      </c>
      <c r="K28" s="69" t="s">
        <v>116</v>
      </c>
      <c r="L28" s="37" t="s">
        <v>3</v>
      </c>
      <c r="M28" s="38" t="s">
        <v>2</v>
      </c>
      <c r="N28" s="37" t="s">
        <v>117</v>
      </c>
      <c r="O28" s="21">
        <f>1673025+984811+990651+945144+949877+789540+1007862+1401979+1035394+1026264+945275</f>
        <v>11749822</v>
      </c>
      <c r="P28" s="21">
        <f t="shared" si="0"/>
        <v>2250178</v>
      </c>
      <c r="Q28" s="36" t="s">
        <v>9</v>
      </c>
      <c r="R28" s="32" t="s">
        <v>361</v>
      </c>
      <c r="S28" s="36" t="s">
        <v>18</v>
      </c>
    </row>
    <row r="29" spans="2:20" ht="270.75">
      <c r="B29" s="20" t="s">
        <v>86</v>
      </c>
      <c r="C29" s="20" t="s">
        <v>86</v>
      </c>
      <c r="D29" s="20" t="s">
        <v>87</v>
      </c>
      <c r="E29" s="8" t="s">
        <v>88</v>
      </c>
      <c r="F29" s="8" t="s">
        <v>89</v>
      </c>
      <c r="G29" s="8" t="str">
        <f t="shared" si="1"/>
        <v>012-2025</v>
      </c>
      <c r="H29" s="8" t="s">
        <v>118</v>
      </c>
      <c r="I29" s="21">
        <v>30619609</v>
      </c>
      <c r="J29" s="8" t="s">
        <v>119</v>
      </c>
      <c r="K29" s="69" t="s">
        <v>116</v>
      </c>
      <c r="L29" s="37" t="s">
        <v>3</v>
      </c>
      <c r="M29" s="38" t="s">
        <v>2</v>
      </c>
      <c r="N29" s="37" t="s">
        <v>120</v>
      </c>
      <c r="O29" s="21">
        <f>10206536+10206536</f>
        <v>20413072</v>
      </c>
      <c r="P29" s="21">
        <f t="shared" si="0"/>
        <v>10206537</v>
      </c>
      <c r="Q29" s="36" t="s">
        <v>9</v>
      </c>
      <c r="R29" s="32" t="s">
        <v>361</v>
      </c>
      <c r="S29" s="36" t="s">
        <v>18</v>
      </c>
      <c r="T29" s="1" t="s">
        <v>302</v>
      </c>
    </row>
    <row r="30" spans="2:20" ht="313.5">
      <c r="B30" s="20" t="s">
        <v>86</v>
      </c>
      <c r="C30" s="20" t="s">
        <v>86</v>
      </c>
      <c r="D30" s="20" t="s">
        <v>87</v>
      </c>
      <c r="E30" s="8" t="s">
        <v>88</v>
      </c>
      <c r="F30" s="8" t="s">
        <v>89</v>
      </c>
      <c r="G30" s="8" t="str">
        <f t="shared" si="1"/>
        <v>013-2025</v>
      </c>
      <c r="H30" s="8" t="s">
        <v>121</v>
      </c>
      <c r="I30" s="21">
        <v>13977400</v>
      </c>
      <c r="J30" s="8" t="s">
        <v>122</v>
      </c>
      <c r="K30" s="69" t="s">
        <v>99</v>
      </c>
      <c r="L30" s="37" t="s">
        <v>3</v>
      </c>
      <c r="M30" s="38" t="s">
        <v>2</v>
      </c>
      <c r="N30" s="37" t="s">
        <v>123</v>
      </c>
      <c r="O30" s="21">
        <f>2795480*5</f>
        <v>13977400</v>
      </c>
      <c r="P30" s="21">
        <f t="shared" si="0"/>
        <v>0</v>
      </c>
      <c r="Q30" s="36" t="s">
        <v>273</v>
      </c>
      <c r="R30" s="32" t="s">
        <v>358</v>
      </c>
      <c r="S30" s="36" t="s">
        <v>18</v>
      </c>
    </row>
    <row r="31" spans="2:20" ht="327.75">
      <c r="B31" s="20" t="s">
        <v>86</v>
      </c>
      <c r="C31" s="20" t="s">
        <v>86</v>
      </c>
      <c r="D31" s="20" t="s">
        <v>87</v>
      </c>
      <c r="E31" s="8" t="s">
        <v>88</v>
      </c>
      <c r="F31" s="8" t="s">
        <v>89</v>
      </c>
      <c r="G31" s="8" t="str">
        <f t="shared" si="1"/>
        <v>014-2025</v>
      </c>
      <c r="H31" s="8" t="s">
        <v>124</v>
      </c>
      <c r="I31" s="21">
        <v>6367625</v>
      </c>
      <c r="J31" s="8" t="s">
        <v>125</v>
      </c>
      <c r="K31" s="69" t="s">
        <v>126</v>
      </c>
      <c r="L31" s="37" t="s">
        <v>3</v>
      </c>
      <c r="M31" s="38" t="s">
        <v>2</v>
      </c>
      <c r="N31" s="42" t="s">
        <v>127</v>
      </c>
      <c r="O31" s="21">
        <f>578875*11</f>
        <v>6367625</v>
      </c>
      <c r="P31" s="21">
        <f t="shared" si="0"/>
        <v>0</v>
      </c>
      <c r="Q31" s="36" t="s">
        <v>208</v>
      </c>
      <c r="R31" s="32" t="s">
        <v>362</v>
      </c>
      <c r="S31" s="36" t="s">
        <v>18</v>
      </c>
    </row>
    <row r="32" spans="2:20" ht="327.75">
      <c r="B32" s="20" t="s">
        <v>86</v>
      </c>
      <c r="C32" s="20" t="s">
        <v>86</v>
      </c>
      <c r="D32" s="20" t="s">
        <v>87</v>
      </c>
      <c r="E32" s="8" t="s">
        <v>88</v>
      </c>
      <c r="F32" s="8" t="s">
        <v>89</v>
      </c>
      <c r="G32" s="8" t="str">
        <f t="shared" si="1"/>
        <v>015-2025</v>
      </c>
      <c r="H32" s="8" t="s">
        <v>128</v>
      </c>
      <c r="I32" s="21">
        <f>32998500+16491392</f>
        <v>49489892</v>
      </c>
      <c r="J32" s="8" t="s">
        <v>129</v>
      </c>
      <c r="K32" s="69" t="s">
        <v>116</v>
      </c>
      <c r="L32" s="37" t="s">
        <v>3</v>
      </c>
      <c r="M32" s="38" t="s">
        <v>2</v>
      </c>
      <c r="N32" s="37" t="s">
        <v>130</v>
      </c>
      <c r="O32" s="21">
        <f>3260005+2350000+3278090+6655432+9470184.22+2986781+2374700+3778421.36+3403400+9661299.41+2261000</f>
        <v>49479312.989999995</v>
      </c>
      <c r="P32" s="21">
        <f t="shared" si="0"/>
        <v>10579.010000005364</v>
      </c>
      <c r="Q32" s="36" t="s">
        <v>208</v>
      </c>
      <c r="R32" s="32" t="s">
        <v>363</v>
      </c>
      <c r="S32" s="36" t="s">
        <v>18</v>
      </c>
      <c r="T32" s="1" t="s">
        <v>346</v>
      </c>
    </row>
    <row r="33" spans="1:20" ht="270.75">
      <c r="B33" s="20" t="s">
        <v>86</v>
      </c>
      <c r="C33" s="20" t="s">
        <v>86</v>
      </c>
      <c r="D33" s="20" t="s">
        <v>87</v>
      </c>
      <c r="E33" s="8" t="s">
        <v>88</v>
      </c>
      <c r="F33" s="8" t="s">
        <v>89</v>
      </c>
      <c r="G33" s="8" t="str">
        <f t="shared" si="1"/>
        <v>016-2025</v>
      </c>
      <c r="H33" s="43" t="s">
        <v>131</v>
      </c>
      <c r="I33" s="21">
        <f>10000000+5000000</f>
        <v>15000000</v>
      </c>
      <c r="J33" s="8" t="s">
        <v>132</v>
      </c>
      <c r="K33" s="69" t="s">
        <v>116</v>
      </c>
      <c r="L33" s="37" t="s">
        <v>11</v>
      </c>
      <c r="M33" s="38" t="s">
        <v>2</v>
      </c>
      <c r="N33" s="37" t="s">
        <v>133</v>
      </c>
      <c r="O33" s="21">
        <f>1406700+3190777+2826303+2088300+2008000+2942400</f>
        <v>14462480</v>
      </c>
      <c r="P33" s="21">
        <f t="shared" si="0"/>
        <v>537520</v>
      </c>
      <c r="Q33" s="36" t="s">
        <v>9</v>
      </c>
      <c r="R33" s="32" t="s">
        <v>361</v>
      </c>
      <c r="S33" s="36" t="s">
        <v>18</v>
      </c>
      <c r="T33" s="1" t="s">
        <v>346</v>
      </c>
    </row>
    <row r="34" spans="1:20" ht="270.75">
      <c r="B34" s="20" t="s">
        <v>86</v>
      </c>
      <c r="C34" s="20" t="s">
        <v>86</v>
      </c>
      <c r="D34" s="20" t="s">
        <v>87</v>
      </c>
      <c r="E34" s="8" t="s">
        <v>88</v>
      </c>
      <c r="F34" s="8" t="s">
        <v>89</v>
      </c>
      <c r="G34" s="8" t="str">
        <f t="shared" si="1"/>
        <v>017-2025</v>
      </c>
      <c r="H34" s="8" t="s">
        <v>134</v>
      </c>
      <c r="I34" s="21">
        <v>377900000</v>
      </c>
      <c r="J34" s="8" t="s">
        <v>132</v>
      </c>
      <c r="K34" s="20" t="s">
        <v>116</v>
      </c>
      <c r="L34" s="37" t="s">
        <v>11</v>
      </c>
      <c r="M34" s="38" t="s">
        <v>2</v>
      </c>
      <c r="N34" s="37" t="s">
        <v>135</v>
      </c>
      <c r="O34" s="21">
        <f>27812544+33159982+34124474+50254865+57491038+57457738+111916642</f>
        <v>372217283</v>
      </c>
      <c r="P34" s="21">
        <f t="shared" si="0"/>
        <v>5682717</v>
      </c>
      <c r="Q34" s="36" t="s">
        <v>9</v>
      </c>
      <c r="R34" s="32" t="s">
        <v>361</v>
      </c>
      <c r="S34" s="36" t="s">
        <v>0</v>
      </c>
      <c r="T34" s="1" t="s">
        <v>302</v>
      </c>
    </row>
    <row r="35" spans="1:20" ht="270.75">
      <c r="B35" s="20" t="s">
        <v>86</v>
      </c>
      <c r="C35" s="20" t="s">
        <v>86</v>
      </c>
      <c r="D35" s="20" t="s">
        <v>87</v>
      </c>
      <c r="E35" s="8" t="s">
        <v>88</v>
      </c>
      <c r="F35" s="8" t="s">
        <v>89</v>
      </c>
      <c r="G35" s="8" t="str">
        <f t="shared" si="1"/>
        <v>018-2025</v>
      </c>
      <c r="H35" s="7" t="s">
        <v>136</v>
      </c>
      <c r="I35" s="21">
        <f>88425148.11+23635000</f>
        <v>112060148.11</v>
      </c>
      <c r="J35" s="8" t="s">
        <v>137</v>
      </c>
      <c r="K35" s="20" t="s">
        <v>116</v>
      </c>
      <c r="L35" s="37" t="s">
        <v>3</v>
      </c>
      <c r="M35" s="38" t="s">
        <v>2</v>
      </c>
      <c r="N35" s="37" t="s">
        <v>138</v>
      </c>
      <c r="O35" s="21">
        <f>18059200+32997980+1768300+43302300</f>
        <v>96127780</v>
      </c>
      <c r="P35" s="21">
        <f t="shared" si="0"/>
        <v>15932368.109999999</v>
      </c>
      <c r="Q35" s="36" t="s">
        <v>9</v>
      </c>
      <c r="R35" s="32" t="s">
        <v>361</v>
      </c>
      <c r="S35" s="36" t="s">
        <v>0</v>
      </c>
    </row>
    <row r="36" spans="1:20" ht="270.75">
      <c r="A36" s="9" t="s">
        <v>55</v>
      </c>
      <c r="B36" s="20" t="s">
        <v>86</v>
      </c>
      <c r="C36" s="20" t="s">
        <v>86</v>
      </c>
      <c r="D36" s="20" t="s">
        <v>87</v>
      </c>
      <c r="E36" s="8" t="s">
        <v>88</v>
      </c>
      <c r="F36" s="31" t="s">
        <v>89</v>
      </c>
      <c r="G36" s="31" t="str">
        <f t="shared" si="1"/>
        <v>019-2025</v>
      </c>
      <c r="H36" s="7" t="s">
        <v>54</v>
      </c>
      <c r="I36" s="33">
        <v>154599450</v>
      </c>
      <c r="J36" s="34">
        <v>45719</v>
      </c>
      <c r="K36" s="34">
        <v>45838</v>
      </c>
      <c r="L36" s="37" t="s">
        <v>3</v>
      </c>
      <c r="M36" s="38" t="s">
        <v>2</v>
      </c>
      <c r="N36" s="41" t="s">
        <v>53</v>
      </c>
      <c r="O36" s="33">
        <f>51760197+52200879+50638374</f>
        <v>154599450</v>
      </c>
      <c r="P36" s="33">
        <f t="shared" si="0"/>
        <v>0</v>
      </c>
      <c r="Q36" s="36" t="s">
        <v>208</v>
      </c>
      <c r="R36" s="32" t="s">
        <v>364</v>
      </c>
      <c r="S36" s="36" t="s">
        <v>0</v>
      </c>
      <c r="T36" s="1" t="s">
        <v>302</v>
      </c>
    </row>
    <row r="37" spans="1:20" ht="342">
      <c r="B37" s="20" t="s">
        <v>86</v>
      </c>
      <c r="C37" s="20" t="s">
        <v>86</v>
      </c>
      <c r="D37" s="20" t="s">
        <v>87</v>
      </c>
      <c r="E37" s="8" t="s">
        <v>88</v>
      </c>
      <c r="F37" s="8" t="s">
        <v>89</v>
      </c>
      <c r="G37" s="8" t="str">
        <f t="shared" si="1"/>
        <v>020-2025</v>
      </c>
      <c r="H37" s="7" t="s">
        <v>52</v>
      </c>
      <c r="I37" s="33">
        <v>14400000</v>
      </c>
      <c r="J37" s="34">
        <v>45722</v>
      </c>
      <c r="K37" s="70">
        <v>45899</v>
      </c>
      <c r="L37" s="35" t="s">
        <v>3</v>
      </c>
      <c r="M37" s="35" t="s">
        <v>2</v>
      </c>
      <c r="N37" s="41" t="s">
        <v>51</v>
      </c>
      <c r="O37" s="33">
        <f>2400000*6</f>
        <v>14400000</v>
      </c>
      <c r="P37" s="33">
        <f t="shared" si="0"/>
        <v>0</v>
      </c>
      <c r="Q37" s="36" t="s">
        <v>273</v>
      </c>
      <c r="R37" s="32" t="s">
        <v>359</v>
      </c>
      <c r="S37" s="36" t="s">
        <v>18</v>
      </c>
    </row>
    <row r="38" spans="1:20" ht="270.75">
      <c r="B38" s="20" t="s">
        <v>86</v>
      </c>
      <c r="C38" s="20" t="s">
        <v>86</v>
      </c>
      <c r="D38" s="20" t="s">
        <v>87</v>
      </c>
      <c r="E38" s="8" t="s">
        <v>88</v>
      </c>
      <c r="F38" s="8" t="s">
        <v>89</v>
      </c>
      <c r="G38" s="8" t="str">
        <f t="shared" si="1"/>
        <v>021-2025</v>
      </c>
      <c r="H38" s="7" t="s">
        <v>50</v>
      </c>
      <c r="I38" s="33">
        <v>10000000</v>
      </c>
      <c r="J38" s="34">
        <v>45722</v>
      </c>
      <c r="K38" s="70">
        <v>46022</v>
      </c>
      <c r="L38" s="35" t="s">
        <v>3</v>
      </c>
      <c r="M38" s="35" t="s">
        <v>2</v>
      </c>
      <c r="N38" s="32" t="s">
        <v>30</v>
      </c>
      <c r="O38" s="33">
        <f>3361200+486783</f>
        <v>3847983</v>
      </c>
      <c r="P38" s="33">
        <f t="shared" si="0"/>
        <v>6152017</v>
      </c>
      <c r="Q38" s="36" t="s">
        <v>9</v>
      </c>
      <c r="R38" s="32" t="s">
        <v>361</v>
      </c>
      <c r="S38" s="36" t="s">
        <v>18</v>
      </c>
      <c r="T38" s="1" t="s">
        <v>302</v>
      </c>
    </row>
    <row r="39" spans="1:20" ht="313.5">
      <c r="B39" s="20" t="s">
        <v>86</v>
      </c>
      <c r="C39" s="20" t="s">
        <v>86</v>
      </c>
      <c r="D39" s="20" t="s">
        <v>87</v>
      </c>
      <c r="E39" s="8" t="s">
        <v>88</v>
      </c>
      <c r="F39" s="31" t="s">
        <v>89</v>
      </c>
      <c r="G39" s="31" t="str">
        <f t="shared" si="1"/>
        <v>022-2025</v>
      </c>
      <c r="H39" s="7" t="s">
        <v>49</v>
      </c>
      <c r="I39" s="33">
        <v>1255000000</v>
      </c>
      <c r="J39" s="34">
        <v>45734</v>
      </c>
      <c r="K39" s="34">
        <v>46022</v>
      </c>
      <c r="L39" s="35" t="s">
        <v>3</v>
      </c>
      <c r="M39" s="35" t="s">
        <v>2</v>
      </c>
      <c r="N39" s="32" t="s">
        <v>48</v>
      </c>
      <c r="O39" s="33">
        <f>122500000*5</f>
        <v>612500000</v>
      </c>
      <c r="P39" s="33">
        <f t="shared" si="0"/>
        <v>642500000</v>
      </c>
      <c r="Q39" s="36" t="s">
        <v>273</v>
      </c>
      <c r="R39" s="32" t="s">
        <v>365</v>
      </c>
      <c r="S39" s="36" t="s">
        <v>0</v>
      </c>
    </row>
    <row r="40" spans="1:20" ht="156.75">
      <c r="B40" s="20" t="s">
        <v>86</v>
      </c>
      <c r="C40" s="20" t="s">
        <v>86</v>
      </c>
      <c r="D40" s="20" t="s">
        <v>87</v>
      </c>
      <c r="E40" s="8" t="s">
        <v>88</v>
      </c>
      <c r="F40" s="8" t="s">
        <v>89</v>
      </c>
      <c r="G40" s="8" t="str">
        <f t="shared" si="1"/>
        <v>023-2025</v>
      </c>
      <c r="H40" s="7" t="s">
        <v>47</v>
      </c>
      <c r="I40" s="33">
        <v>33332936</v>
      </c>
      <c r="J40" s="34">
        <v>45728</v>
      </c>
      <c r="K40" s="34">
        <v>46022</v>
      </c>
      <c r="L40" s="37" t="s">
        <v>14</v>
      </c>
      <c r="M40" s="35" t="s">
        <v>2</v>
      </c>
      <c r="N40" s="32" t="s">
        <v>46</v>
      </c>
      <c r="O40" s="33">
        <f>33332936</f>
        <v>33332936</v>
      </c>
      <c r="P40" s="33">
        <f t="shared" si="0"/>
        <v>0</v>
      </c>
      <c r="Q40" s="36" t="s">
        <v>208</v>
      </c>
      <c r="R40" s="32" t="s">
        <v>366</v>
      </c>
      <c r="S40" s="36" t="s">
        <v>5</v>
      </c>
      <c r="T40" s="1" t="s">
        <v>302</v>
      </c>
    </row>
    <row r="41" spans="1:20" ht="270.75">
      <c r="B41" s="20" t="s">
        <v>86</v>
      </c>
      <c r="C41" s="20" t="s">
        <v>86</v>
      </c>
      <c r="D41" s="20" t="s">
        <v>87</v>
      </c>
      <c r="E41" s="8" t="s">
        <v>88</v>
      </c>
      <c r="F41" s="8" t="s">
        <v>89</v>
      </c>
      <c r="G41" s="8" t="str">
        <f t="shared" si="1"/>
        <v>024-2025</v>
      </c>
      <c r="H41" s="7" t="s">
        <v>45</v>
      </c>
      <c r="I41" s="33">
        <v>1859614280</v>
      </c>
      <c r="J41" s="34">
        <v>45743</v>
      </c>
      <c r="K41" s="34">
        <v>45907</v>
      </c>
      <c r="L41" s="37" t="s">
        <v>14</v>
      </c>
      <c r="M41" s="35" t="s">
        <v>2</v>
      </c>
      <c r="N41" s="32" t="s">
        <v>44</v>
      </c>
      <c r="O41" s="33">
        <f>177284174+353885431+1142444439+182257542</f>
        <v>1855871586</v>
      </c>
      <c r="P41" s="33">
        <f t="shared" si="0"/>
        <v>3742694</v>
      </c>
      <c r="Q41" s="36" t="s">
        <v>9</v>
      </c>
      <c r="R41" s="32" t="s">
        <v>361</v>
      </c>
      <c r="S41" s="36" t="s">
        <v>5</v>
      </c>
    </row>
    <row r="42" spans="1:20" ht="285">
      <c r="B42" s="20" t="s">
        <v>86</v>
      </c>
      <c r="C42" s="20" t="s">
        <v>86</v>
      </c>
      <c r="D42" s="20" t="s">
        <v>87</v>
      </c>
      <c r="E42" s="8" t="s">
        <v>88</v>
      </c>
      <c r="F42" s="31" t="s">
        <v>89</v>
      </c>
      <c r="G42" s="31" t="str">
        <f t="shared" si="1"/>
        <v>025-2025</v>
      </c>
      <c r="H42" s="7" t="s">
        <v>43</v>
      </c>
      <c r="I42" s="33">
        <v>16500000</v>
      </c>
      <c r="J42" s="34">
        <v>45731</v>
      </c>
      <c r="K42" s="70">
        <v>45900</v>
      </c>
      <c r="L42" s="35" t="s">
        <v>3</v>
      </c>
      <c r="M42" s="35" t="s">
        <v>2</v>
      </c>
      <c r="N42" s="32" t="s">
        <v>42</v>
      </c>
      <c r="O42" s="33">
        <f>1500000+(3000000*5)</f>
        <v>16500000</v>
      </c>
      <c r="P42" s="33">
        <f t="shared" si="0"/>
        <v>0</v>
      </c>
      <c r="Q42" s="36" t="s">
        <v>273</v>
      </c>
      <c r="R42" s="32" t="s">
        <v>360</v>
      </c>
      <c r="S42" s="36" t="s">
        <v>18</v>
      </c>
    </row>
    <row r="43" spans="1:20" ht="270.75">
      <c r="B43" s="20" t="s">
        <v>86</v>
      </c>
      <c r="C43" s="20" t="s">
        <v>86</v>
      </c>
      <c r="D43" s="20" t="s">
        <v>87</v>
      </c>
      <c r="E43" s="8" t="s">
        <v>88</v>
      </c>
      <c r="F43" s="31" t="s">
        <v>89</v>
      </c>
      <c r="G43" s="31" t="str">
        <f t="shared" si="1"/>
        <v>026-2025</v>
      </c>
      <c r="H43" s="7" t="s">
        <v>41</v>
      </c>
      <c r="I43" s="33">
        <v>18000000</v>
      </c>
      <c r="J43" s="34">
        <v>45737</v>
      </c>
      <c r="K43" s="70">
        <v>46022</v>
      </c>
      <c r="L43" s="35" t="s">
        <v>3</v>
      </c>
      <c r="M43" s="35" t="s">
        <v>2</v>
      </c>
      <c r="N43" s="32" t="s">
        <v>40</v>
      </c>
      <c r="O43" s="33">
        <f>14300000+2650000</f>
        <v>16950000</v>
      </c>
      <c r="P43" s="33">
        <f t="shared" si="0"/>
        <v>1050000</v>
      </c>
      <c r="Q43" s="36" t="s">
        <v>9</v>
      </c>
      <c r="R43" s="32" t="s">
        <v>361</v>
      </c>
      <c r="S43" s="36" t="s">
        <v>18</v>
      </c>
      <c r="T43" s="1" t="s">
        <v>302</v>
      </c>
    </row>
    <row r="44" spans="1:20" ht="270.75">
      <c r="B44" s="20" t="s">
        <v>86</v>
      </c>
      <c r="C44" s="20" t="s">
        <v>86</v>
      </c>
      <c r="D44" s="20" t="s">
        <v>87</v>
      </c>
      <c r="E44" s="8" t="s">
        <v>88</v>
      </c>
      <c r="F44" s="31" t="s">
        <v>89</v>
      </c>
      <c r="G44" s="31" t="str">
        <f t="shared" si="1"/>
        <v>027-2025</v>
      </c>
      <c r="H44" s="7" t="s">
        <v>39</v>
      </c>
      <c r="I44" s="33">
        <v>1127701734.3299999</v>
      </c>
      <c r="J44" s="34">
        <v>45750</v>
      </c>
      <c r="K44" s="34">
        <v>45935</v>
      </c>
      <c r="L44" s="37" t="s">
        <v>14</v>
      </c>
      <c r="M44" s="35" t="s">
        <v>2</v>
      </c>
      <c r="N44" s="32" t="s">
        <v>38</v>
      </c>
      <c r="O44" s="33">
        <v>439527705.80000001</v>
      </c>
      <c r="P44" s="33">
        <f t="shared" si="0"/>
        <v>688174028.52999997</v>
      </c>
      <c r="Q44" s="36" t="s">
        <v>9</v>
      </c>
      <c r="R44" s="32" t="s">
        <v>361</v>
      </c>
      <c r="S44" s="36" t="s">
        <v>5</v>
      </c>
      <c r="T44" s="1" t="s">
        <v>302</v>
      </c>
    </row>
    <row r="45" spans="1:20" ht="270.75">
      <c r="B45" s="20" t="s">
        <v>86</v>
      </c>
      <c r="C45" s="20" t="s">
        <v>86</v>
      </c>
      <c r="D45" s="20" t="s">
        <v>87</v>
      </c>
      <c r="E45" s="8" t="s">
        <v>88</v>
      </c>
      <c r="F45" s="31" t="s">
        <v>89</v>
      </c>
      <c r="G45" s="31" t="str">
        <f t="shared" si="1"/>
        <v>028-2025</v>
      </c>
      <c r="H45" s="7" t="s">
        <v>37</v>
      </c>
      <c r="I45" s="33">
        <v>67356419</v>
      </c>
      <c r="J45" s="34">
        <v>45750</v>
      </c>
      <c r="K45" s="34">
        <v>45935</v>
      </c>
      <c r="L45" s="37" t="s">
        <v>17</v>
      </c>
      <c r="M45" s="35" t="s">
        <v>2</v>
      </c>
      <c r="N45" s="32" t="s">
        <v>36</v>
      </c>
      <c r="O45" s="33">
        <f>26252520+11864183</f>
        <v>38116703</v>
      </c>
      <c r="P45" s="33">
        <f t="shared" si="0"/>
        <v>29239716</v>
      </c>
      <c r="Q45" s="36" t="s">
        <v>9</v>
      </c>
      <c r="R45" s="32" t="s">
        <v>361</v>
      </c>
      <c r="S45" s="36" t="s">
        <v>5</v>
      </c>
      <c r="T45" s="1" t="s">
        <v>302</v>
      </c>
    </row>
    <row r="46" spans="1:20" ht="270.75">
      <c r="B46" s="20" t="s">
        <v>86</v>
      </c>
      <c r="C46" s="20" t="s">
        <v>86</v>
      </c>
      <c r="D46" s="20" t="s">
        <v>87</v>
      </c>
      <c r="E46" s="8" t="s">
        <v>88</v>
      </c>
      <c r="F46" s="31" t="s">
        <v>89</v>
      </c>
      <c r="G46" s="31" t="str">
        <f t="shared" si="1"/>
        <v>029-2025</v>
      </c>
      <c r="H46" s="7" t="s">
        <v>35</v>
      </c>
      <c r="I46" s="33">
        <v>240014614</v>
      </c>
      <c r="J46" s="34">
        <v>45754</v>
      </c>
      <c r="K46" s="34">
        <v>46022</v>
      </c>
      <c r="L46" s="35" t="s">
        <v>3</v>
      </c>
      <c r="M46" s="35" t="s">
        <v>2</v>
      </c>
      <c r="N46" s="32" t="s">
        <v>34</v>
      </c>
      <c r="O46" s="33">
        <f>39075629+54967423+35748787+82476227+24450300</f>
        <v>236718366</v>
      </c>
      <c r="P46" s="33">
        <f t="shared" si="0"/>
        <v>3296248</v>
      </c>
      <c r="Q46" s="36" t="s">
        <v>9</v>
      </c>
      <c r="R46" s="32" t="s">
        <v>361</v>
      </c>
      <c r="S46" s="36" t="s">
        <v>0</v>
      </c>
      <c r="T46" s="1" t="s">
        <v>302</v>
      </c>
    </row>
    <row r="47" spans="1:20" ht="228">
      <c r="B47" s="20" t="s">
        <v>86</v>
      </c>
      <c r="C47" s="20" t="s">
        <v>86</v>
      </c>
      <c r="D47" s="20" t="s">
        <v>87</v>
      </c>
      <c r="E47" s="8" t="s">
        <v>88</v>
      </c>
      <c r="F47" s="31" t="s">
        <v>89</v>
      </c>
      <c r="G47" s="31" t="str">
        <f t="shared" si="1"/>
        <v>030-2025</v>
      </c>
      <c r="H47" s="7" t="s">
        <v>33</v>
      </c>
      <c r="I47" s="33">
        <v>119025732</v>
      </c>
      <c r="J47" s="34">
        <v>45756</v>
      </c>
      <c r="K47" s="34">
        <v>45859</v>
      </c>
      <c r="L47" s="37" t="s">
        <v>14</v>
      </c>
      <c r="M47" s="35" t="s">
        <v>2</v>
      </c>
      <c r="N47" s="32" t="s">
        <v>32</v>
      </c>
      <c r="O47" s="33">
        <v>118653191</v>
      </c>
      <c r="P47" s="33">
        <f t="shared" si="0"/>
        <v>372541</v>
      </c>
      <c r="Q47" s="36" t="s">
        <v>208</v>
      </c>
      <c r="R47" s="32" t="s">
        <v>367</v>
      </c>
      <c r="S47" s="36" t="s">
        <v>5</v>
      </c>
      <c r="T47" s="1" t="s">
        <v>302</v>
      </c>
    </row>
    <row r="48" spans="1:20" ht="270.75">
      <c r="B48" s="20" t="s">
        <v>86</v>
      </c>
      <c r="C48" s="20" t="s">
        <v>86</v>
      </c>
      <c r="D48" s="20" t="s">
        <v>87</v>
      </c>
      <c r="E48" s="8" t="s">
        <v>88</v>
      </c>
      <c r="F48" s="31" t="s">
        <v>89</v>
      </c>
      <c r="G48" s="31" t="str">
        <f t="shared" si="1"/>
        <v>031-2025</v>
      </c>
      <c r="H48" s="7" t="s">
        <v>31</v>
      </c>
      <c r="I48" s="33">
        <v>2570000000</v>
      </c>
      <c r="J48" s="34">
        <v>45758</v>
      </c>
      <c r="K48" s="34">
        <v>46022</v>
      </c>
      <c r="L48" s="35" t="s">
        <v>11</v>
      </c>
      <c r="M48" s="35" t="s">
        <v>2</v>
      </c>
      <c r="N48" s="32" t="s">
        <v>30</v>
      </c>
      <c r="O48" s="33">
        <f>17069991+13946592+14706092+25163741+25141019+27024691+38649703+52433427</f>
        <v>214135256</v>
      </c>
      <c r="P48" s="33">
        <f t="shared" si="0"/>
        <v>2355864744</v>
      </c>
      <c r="Q48" s="36" t="s">
        <v>9</v>
      </c>
      <c r="R48" s="32" t="s">
        <v>361</v>
      </c>
      <c r="S48" s="36" t="s">
        <v>0</v>
      </c>
      <c r="T48" s="1" t="s">
        <v>302</v>
      </c>
    </row>
    <row r="49" spans="2:20" ht="299.25">
      <c r="B49" s="20" t="s">
        <v>86</v>
      </c>
      <c r="C49" s="20" t="s">
        <v>86</v>
      </c>
      <c r="D49" s="20" t="s">
        <v>87</v>
      </c>
      <c r="E49" s="8" t="s">
        <v>88</v>
      </c>
      <c r="F49" s="31" t="s">
        <v>89</v>
      </c>
      <c r="G49" s="31" t="str">
        <f t="shared" si="1"/>
        <v>032-2025</v>
      </c>
      <c r="H49" s="7" t="s">
        <v>29</v>
      </c>
      <c r="I49" s="33">
        <f>190451458+95225730</f>
        <v>285677188</v>
      </c>
      <c r="J49" s="34">
        <v>45761</v>
      </c>
      <c r="K49" s="47">
        <v>45855</v>
      </c>
      <c r="L49" s="35" t="s">
        <v>14</v>
      </c>
      <c r="M49" s="35" t="s">
        <v>2</v>
      </c>
      <c r="N49" s="32" t="s">
        <v>28</v>
      </c>
      <c r="O49" s="33">
        <f>104999999+85180729</f>
        <v>190180728</v>
      </c>
      <c r="P49" s="33">
        <f t="shared" si="0"/>
        <v>95496460</v>
      </c>
      <c r="Q49" s="36" t="s">
        <v>208</v>
      </c>
      <c r="R49" s="32" t="s">
        <v>368</v>
      </c>
      <c r="S49" s="36" t="s">
        <v>5</v>
      </c>
      <c r="T49" s="1" t="s">
        <v>302</v>
      </c>
    </row>
    <row r="50" spans="2:20" ht="270.75">
      <c r="B50" s="20" t="s">
        <v>86</v>
      </c>
      <c r="C50" s="20" t="s">
        <v>86</v>
      </c>
      <c r="D50" s="20" t="s">
        <v>87</v>
      </c>
      <c r="E50" s="8" t="s">
        <v>88</v>
      </c>
      <c r="F50" s="31" t="s">
        <v>89</v>
      </c>
      <c r="G50" s="31" t="str">
        <f t="shared" si="1"/>
        <v>033-2025</v>
      </c>
      <c r="H50" s="7" t="s">
        <v>27</v>
      </c>
      <c r="I50" s="33">
        <v>1132435464.0799999</v>
      </c>
      <c r="J50" s="34">
        <v>45761</v>
      </c>
      <c r="K50" s="34">
        <v>46022</v>
      </c>
      <c r="L50" s="35" t="s">
        <v>3</v>
      </c>
      <c r="M50" s="35" t="s">
        <v>2</v>
      </c>
      <c r="N50" s="32" t="s">
        <v>26</v>
      </c>
      <c r="O50" s="33">
        <f>71010863.49+39693687+105145320+80759536+81880207+144269510+203072999</f>
        <v>725832122.49000001</v>
      </c>
      <c r="P50" s="33">
        <f t="shared" si="0"/>
        <v>406603341.58999991</v>
      </c>
      <c r="Q50" s="36" t="s">
        <v>9</v>
      </c>
      <c r="R50" s="32" t="s">
        <v>361</v>
      </c>
      <c r="S50" s="36" t="s">
        <v>0</v>
      </c>
      <c r="T50" s="1" t="s">
        <v>302</v>
      </c>
    </row>
    <row r="51" spans="2:20" ht="270.75">
      <c r="B51" s="20" t="s">
        <v>86</v>
      </c>
      <c r="C51" s="20" t="s">
        <v>86</v>
      </c>
      <c r="D51" s="20" t="s">
        <v>87</v>
      </c>
      <c r="E51" s="8" t="s">
        <v>88</v>
      </c>
      <c r="F51" s="31" t="s">
        <v>89</v>
      </c>
      <c r="G51" s="31" t="str">
        <f t="shared" si="1"/>
        <v>034-2025</v>
      </c>
      <c r="H51" s="7" t="s">
        <v>12</v>
      </c>
      <c r="I51" s="33">
        <f>274010466+137005233</f>
        <v>411015699</v>
      </c>
      <c r="J51" s="34">
        <v>45762</v>
      </c>
      <c r="K51" s="34">
        <v>46022</v>
      </c>
      <c r="L51" s="35" t="s">
        <v>11</v>
      </c>
      <c r="M51" s="35" t="s">
        <v>2</v>
      </c>
      <c r="N51" s="32" t="s">
        <v>25</v>
      </c>
      <c r="O51" s="33">
        <f>120332991+123600+114525429+46358544</f>
        <v>281340564</v>
      </c>
      <c r="P51" s="33">
        <f t="shared" si="0"/>
        <v>129675135</v>
      </c>
      <c r="Q51" s="36" t="s">
        <v>9</v>
      </c>
      <c r="R51" s="32" t="s">
        <v>361</v>
      </c>
      <c r="S51" s="36" t="s">
        <v>5</v>
      </c>
    </row>
    <row r="52" spans="2:20" ht="270.75">
      <c r="B52" s="20" t="s">
        <v>86</v>
      </c>
      <c r="C52" s="20" t="s">
        <v>86</v>
      </c>
      <c r="D52" s="20" t="s">
        <v>87</v>
      </c>
      <c r="E52" s="8" t="s">
        <v>88</v>
      </c>
      <c r="F52" s="31" t="s">
        <v>89</v>
      </c>
      <c r="G52" s="31" t="str">
        <f t="shared" si="1"/>
        <v>035-2025</v>
      </c>
      <c r="H52" s="7" t="s">
        <v>24</v>
      </c>
      <c r="I52" s="33">
        <v>53516666</v>
      </c>
      <c r="J52" s="34">
        <v>45775</v>
      </c>
      <c r="K52" s="34">
        <v>46022</v>
      </c>
      <c r="L52" s="35" t="s">
        <v>3</v>
      </c>
      <c r="M52" s="35" t="s">
        <v>2</v>
      </c>
      <c r="N52" s="32" t="s">
        <v>23</v>
      </c>
      <c r="O52" s="33">
        <v>14516666</v>
      </c>
      <c r="P52" s="33">
        <f t="shared" si="0"/>
        <v>39000000</v>
      </c>
      <c r="Q52" s="36" t="s">
        <v>9</v>
      </c>
      <c r="R52" s="32" t="s">
        <v>361</v>
      </c>
      <c r="S52" s="36" t="s">
        <v>5</v>
      </c>
    </row>
    <row r="53" spans="2:20" ht="270.75">
      <c r="B53" s="20" t="s">
        <v>86</v>
      </c>
      <c r="C53" s="20" t="s">
        <v>86</v>
      </c>
      <c r="D53" s="20" t="s">
        <v>87</v>
      </c>
      <c r="E53" s="8" t="s">
        <v>88</v>
      </c>
      <c r="F53" s="31" t="s">
        <v>89</v>
      </c>
      <c r="G53" s="31" t="str">
        <f t="shared" si="1"/>
        <v>036-2025</v>
      </c>
      <c r="H53" s="7" t="s">
        <v>22</v>
      </c>
      <c r="I53" s="33">
        <v>2779675050</v>
      </c>
      <c r="J53" s="34">
        <v>45803</v>
      </c>
      <c r="K53" s="34">
        <v>45939</v>
      </c>
      <c r="L53" s="35" t="s">
        <v>14</v>
      </c>
      <c r="M53" s="35" t="s">
        <v>2</v>
      </c>
      <c r="N53" s="32" t="s">
        <v>21</v>
      </c>
      <c r="O53" s="33">
        <f>541406244709+1095574956+277855383</f>
        <v>542779675048</v>
      </c>
      <c r="P53" s="33">
        <f t="shared" si="0"/>
        <v>-539999999998</v>
      </c>
      <c r="Q53" s="36" t="s">
        <v>9</v>
      </c>
      <c r="R53" s="32" t="s">
        <v>361</v>
      </c>
      <c r="S53" s="36" t="s">
        <v>5</v>
      </c>
    </row>
    <row r="54" spans="2:20" ht="270.75">
      <c r="B54" s="20" t="s">
        <v>86</v>
      </c>
      <c r="C54" s="20" t="s">
        <v>86</v>
      </c>
      <c r="D54" s="20" t="s">
        <v>87</v>
      </c>
      <c r="E54" s="8" t="s">
        <v>88</v>
      </c>
      <c r="F54" s="31" t="s">
        <v>89</v>
      </c>
      <c r="G54" s="31" t="str">
        <f t="shared" si="1"/>
        <v>037-2025</v>
      </c>
      <c r="H54" s="7" t="s">
        <v>20</v>
      </c>
      <c r="I54" s="33">
        <v>28000000</v>
      </c>
      <c r="J54" s="34">
        <v>45777</v>
      </c>
      <c r="K54" s="70">
        <v>46022</v>
      </c>
      <c r="L54" s="35" t="s">
        <v>209</v>
      </c>
      <c r="M54" s="35" t="s">
        <v>2</v>
      </c>
      <c r="N54" s="32" t="s">
        <v>19</v>
      </c>
      <c r="O54" s="33">
        <f>2558737+2313520+2428749+2495739+2486228+2525891</f>
        <v>14808864</v>
      </c>
      <c r="P54" s="33">
        <f t="shared" si="0"/>
        <v>13191136</v>
      </c>
      <c r="Q54" s="36" t="s">
        <v>9</v>
      </c>
      <c r="R54" s="32" t="s">
        <v>361</v>
      </c>
      <c r="S54" s="36" t="s">
        <v>18</v>
      </c>
    </row>
    <row r="55" spans="2:20" ht="270.75">
      <c r="B55" s="20" t="s">
        <v>86</v>
      </c>
      <c r="C55" s="20" t="s">
        <v>86</v>
      </c>
      <c r="D55" s="20" t="s">
        <v>87</v>
      </c>
      <c r="E55" s="8" t="s">
        <v>88</v>
      </c>
      <c r="F55" s="31" t="s">
        <v>89</v>
      </c>
      <c r="G55" s="31" t="str">
        <f t="shared" si="1"/>
        <v>038-2025</v>
      </c>
      <c r="H55" s="7" t="s">
        <v>210</v>
      </c>
      <c r="I55" s="33">
        <v>218335250</v>
      </c>
      <c r="J55" s="34">
        <v>45803</v>
      </c>
      <c r="K55" s="34">
        <v>45939</v>
      </c>
      <c r="L55" s="35" t="s">
        <v>17</v>
      </c>
      <c r="M55" s="35" t="s">
        <v>2</v>
      </c>
      <c r="N55" s="32" t="s">
        <v>16</v>
      </c>
      <c r="O55" s="33">
        <f>110457823+86043902</f>
        <v>196501725</v>
      </c>
      <c r="P55" s="33">
        <f t="shared" si="0"/>
        <v>21833525</v>
      </c>
      <c r="Q55" s="36" t="s">
        <v>9</v>
      </c>
      <c r="R55" s="32" t="s">
        <v>361</v>
      </c>
      <c r="S55" s="36" t="s">
        <v>5</v>
      </c>
    </row>
    <row r="56" spans="2:20" ht="270.75">
      <c r="B56" s="20" t="s">
        <v>86</v>
      </c>
      <c r="C56" s="20" t="s">
        <v>86</v>
      </c>
      <c r="D56" s="20" t="s">
        <v>87</v>
      </c>
      <c r="E56" s="8" t="s">
        <v>88</v>
      </c>
      <c r="F56" s="31" t="s">
        <v>89</v>
      </c>
      <c r="G56" s="31" t="str">
        <f t="shared" si="1"/>
        <v>039-2025</v>
      </c>
      <c r="H56" s="7" t="s">
        <v>15</v>
      </c>
      <c r="I56" s="33">
        <v>142855684</v>
      </c>
      <c r="J56" s="34">
        <v>45787</v>
      </c>
      <c r="K56" s="34">
        <v>46022</v>
      </c>
      <c r="L56" s="35" t="s">
        <v>14</v>
      </c>
      <c r="M56" s="35" t="s">
        <v>2</v>
      </c>
      <c r="N56" s="32" t="s">
        <v>13</v>
      </c>
      <c r="O56" s="33"/>
      <c r="P56" s="33">
        <f t="shared" si="0"/>
        <v>142855684</v>
      </c>
      <c r="Q56" s="36" t="s">
        <v>9</v>
      </c>
      <c r="R56" s="32" t="s">
        <v>361</v>
      </c>
      <c r="S56" s="36" t="s">
        <v>5</v>
      </c>
    </row>
    <row r="57" spans="2:20" ht="270.75">
      <c r="B57" s="20" t="s">
        <v>86</v>
      </c>
      <c r="C57" s="20" t="s">
        <v>86</v>
      </c>
      <c r="D57" s="20" t="s">
        <v>87</v>
      </c>
      <c r="E57" s="8" t="s">
        <v>88</v>
      </c>
      <c r="F57" s="31" t="s">
        <v>89</v>
      </c>
      <c r="G57" s="31" t="str">
        <f t="shared" si="1"/>
        <v>040-2025</v>
      </c>
      <c r="H57" s="7" t="s">
        <v>12</v>
      </c>
      <c r="I57" s="33">
        <v>224190381</v>
      </c>
      <c r="J57" s="34">
        <v>45792</v>
      </c>
      <c r="K57" s="34">
        <v>46022</v>
      </c>
      <c r="L57" s="35" t="s">
        <v>11</v>
      </c>
      <c r="M57" s="35" t="s">
        <v>2</v>
      </c>
      <c r="N57" s="32" t="s">
        <v>10</v>
      </c>
      <c r="O57" s="33">
        <f>127891235+60629551+56049796+84499834</f>
        <v>329070416</v>
      </c>
      <c r="P57" s="33">
        <f t="shared" si="0"/>
        <v>-104880035</v>
      </c>
      <c r="Q57" s="36" t="s">
        <v>9</v>
      </c>
      <c r="R57" s="32" t="s">
        <v>361</v>
      </c>
      <c r="S57" s="36" t="s">
        <v>5</v>
      </c>
    </row>
    <row r="58" spans="2:20" ht="270.75">
      <c r="B58" s="20" t="s">
        <v>86</v>
      </c>
      <c r="C58" s="20" t="s">
        <v>86</v>
      </c>
      <c r="D58" s="20" t="s">
        <v>87</v>
      </c>
      <c r="E58" s="8" t="s">
        <v>88</v>
      </c>
      <c r="F58" s="31" t="s">
        <v>89</v>
      </c>
      <c r="G58" s="31" t="str">
        <f t="shared" si="1"/>
        <v>041-2025</v>
      </c>
      <c r="H58" s="7" t="s">
        <v>8</v>
      </c>
      <c r="I58" s="33">
        <v>387956589</v>
      </c>
      <c r="J58" s="34">
        <v>45811</v>
      </c>
      <c r="K58" s="34">
        <v>45961</v>
      </c>
      <c r="L58" s="35" t="s">
        <v>7</v>
      </c>
      <c r="M58" s="35" t="s">
        <v>2</v>
      </c>
      <c r="N58" s="32" t="s">
        <v>6</v>
      </c>
      <c r="O58" s="33"/>
      <c r="P58" s="33">
        <f t="shared" si="0"/>
        <v>387956589</v>
      </c>
      <c r="Q58" s="36" t="s">
        <v>9</v>
      </c>
      <c r="R58" s="32" t="s">
        <v>361</v>
      </c>
      <c r="S58" s="36" t="s">
        <v>5</v>
      </c>
    </row>
    <row r="59" spans="2:20" ht="270.75">
      <c r="B59" s="20" t="s">
        <v>86</v>
      </c>
      <c r="C59" s="20" t="s">
        <v>86</v>
      </c>
      <c r="D59" s="20" t="s">
        <v>87</v>
      </c>
      <c r="E59" s="8" t="s">
        <v>88</v>
      </c>
      <c r="F59" s="31" t="s">
        <v>89</v>
      </c>
      <c r="G59" s="31" t="str">
        <f t="shared" si="1"/>
        <v>042-2025</v>
      </c>
      <c r="H59" s="7" t="s">
        <v>4</v>
      </c>
      <c r="I59" s="33">
        <v>461186886</v>
      </c>
      <c r="J59" s="34">
        <v>45805</v>
      </c>
      <c r="K59" s="34">
        <v>46022</v>
      </c>
      <c r="L59" s="35" t="s">
        <v>3</v>
      </c>
      <c r="M59" s="35" t="s">
        <v>2</v>
      </c>
      <c r="N59" s="32" t="s">
        <v>1</v>
      </c>
      <c r="O59" s="33">
        <f>41932606+28314390+3299170+74986200+89507340</f>
        <v>238039706</v>
      </c>
      <c r="P59" s="33">
        <f t="shared" si="0"/>
        <v>223147180</v>
      </c>
      <c r="Q59" s="36" t="s">
        <v>9</v>
      </c>
      <c r="R59" s="32" t="s">
        <v>361</v>
      </c>
      <c r="S59" s="36" t="s">
        <v>0</v>
      </c>
    </row>
    <row r="60" spans="2:20" ht="270.75">
      <c r="B60" s="20" t="s">
        <v>86</v>
      </c>
      <c r="C60" s="20" t="s">
        <v>86</v>
      </c>
      <c r="D60" s="20" t="s">
        <v>87</v>
      </c>
      <c r="E60" s="8" t="s">
        <v>88</v>
      </c>
      <c r="F60" s="31" t="s">
        <v>89</v>
      </c>
      <c r="G60" s="31" t="str">
        <f t="shared" si="1"/>
        <v>043-2025</v>
      </c>
      <c r="H60" s="32" t="s">
        <v>164</v>
      </c>
      <c r="I60" s="33">
        <f>47054060+5804633</f>
        <v>52858693</v>
      </c>
      <c r="J60" s="34">
        <v>45806</v>
      </c>
      <c r="K60" s="70">
        <v>45899</v>
      </c>
      <c r="L60" s="35" t="s">
        <v>3</v>
      </c>
      <c r="M60" s="35" t="s">
        <v>2</v>
      </c>
      <c r="N60" s="32" t="s">
        <v>165</v>
      </c>
      <c r="O60" s="33">
        <f>43586455+9272238</f>
        <v>52858693</v>
      </c>
      <c r="P60" s="33">
        <f t="shared" si="0"/>
        <v>0</v>
      </c>
      <c r="Q60" s="36" t="s">
        <v>9</v>
      </c>
      <c r="R60" s="32" t="s">
        <v>361</v>
      </c>
      <c r="S60" s="36" t="s">
        <v>18</v>
      </c>
    </row>
    <row r="61" spans="2:20" s="30" customFormat="1" ht="270.75">
      <c r="B61" s="20" t="s">
        <v>86</v>
      </c>
      <c r="C61" s="20" t="s">
        <v>86</v>
      </c>
      <c r="D61" s="20" t="s">
        <v>87</v>
      </c>
      <c r="E61" s="8" t="s">
        <v>88</v>
      </c>
      <c r="F61" s="31" t="s">
        <v>89</v>
      </c>
      <c r="G61" s="31" t="str">
        <f t="shared" si="1"/>
        <v>044-2025</v>
      </c>
      <c r="H61" s="32" t="s">
        <v>166</v>
      </c>
      <c r="I61" s="33">
        <v>401001440</v>
      </c>
      <c r="J61" s="34">
        <v>45824</v>
      </c>
      <c r="K61" s="34">
        <v>45961</v>
      </c>
      <c r="L61" s="35" t="s">
        <v>7</v>
      </c>
      <c r="M61" s="35" t="s">
        <v>2</v>
      </c>
      <c r="N61" s="32" t="s">
        <v>167</v>
      </c>
      <c r="O61" s="33">
        <f>75951750+86486820+127110445</f>
        <v>289549015</v>
      </c>
      <c r="P61" s="33">
        <f t="shared" si="0"/>
        <v>111452425</v>
      </c>
      <c r="Q61" s="36" t="s">
        <v>9</v>
      </c>
      <c r="R61" s="32" t="s">
        <v>361</v>
      </c>
      <c r="S61" s="36" t="s">
        <v>5</v>
      </c>
    </row>
    <row r="62" spans="2:20" ht="185.25">
      <c r="B62" s="20" t="s">
        <v>86</v>
      </c>
      <c r="C62" s="20" t="s">
        <v>86</v>
      </c>
      <c r="D62" s="20" t="s">
        <v>87</v>
      </c>
      <c r="E62" s="8" t="s">
        <v>88</v>
      </c>
      <c r="F62" s="31" t="s">
        <v>89</v>
      </c>
      <c r="G62" s="31" t="str">
        <f t="shared" si="1"/>
        <v>045-2025</v>
      </c>
      <c r="H62" s="32" t="s">
        <v>168</v>
      </c>
      <c r="I62" s="33">
        <f>309147771+9083837</f>
        <v>318231608</v>
      </c>
      <c r="J62" s="34">
        <v>45826</v>
      </c>
      <c r="K62" s="34">
        <v>46022</v>
      </c>
      <c r="L62" s="35" t="s">
        <v>3</v>
      </c>
      <c r="M62" s="35" t="s">
        <v>2</v>
      </c>
      <c r="N62" s="32" t="s">
        <v>169</v>
      </c>
      <c r="O62" s="33">
        <f>68751938+30292850+41600650+80360000+97226170</f>
        <v>318231608</v>
      </c>
      <c r="P62" s="33">
        <f t="shared" si="0"/>
        <v>0</v>
      </c>
      <c r="Q62" s="36" t="s">
        <v>208</v>
      </c>
      <c r="R62" s="32" t="s">
        <v>350</v>
      </c>
      <c r="S62" s="36" t="s">
        <v>0</v>
      </c>
    </row>
    <row r="63" spans="2:20" ht="185.25">
      <c r="B63" s="20" t="s">
        <v>86</v>
      </c>
      <c r="C63" s="20" t="s">
        <v>86</v>
      </c>
      <c r="D63" s="20" t="s">
        <v>87</v>
      </c>
      <c r="E63" s="8" t="s">
        <v>88</v>
      </c>
      <c r="F63" s="31" t="s">
        <v>89</v>
      </c>
      <c r="G63" s="31" t="str">
        <f t="shared" si="1"/>
        <v>046-2025</v>
      </c>
      <c r="H63" s="32" t="s">
        <v>170</v>
      </c>
      <c r="I63" s="33">
        <v>41047500</v>
      </c>
      <c r="J63" s="34">
        <v>45839</v>
      </c>
      <c r="K63" s="70">
        <v>46022</v>
      </c>
      <c r="L63" s="35" t="s">
        <v>3</v>
      </c>
      <c r="M63" s="35" t="s">
        <v>2</v>
      </c>
      <c r="N63" s="32" t="s">
        <v>171</v>
      </c>
      <c r="O63" s="33">
        <f>6841250*6</f>
        <v>41047500</v>
      </c>
      <c r="P63" s="33">
        <f t="shared" si="0"/>
        <v>0</v>
      </c>
      <c r="Q63" s="36" t="s">
        <v>208</v>
      </c>
      <c r="R63" s="32" t="s">
        <v>350</v>
      </c>
      <c r="S63" s="36" t="s">
        <v>18</v>
      </c>
    </row>
    <row r="64" spans="2:20" ht="185.25">
      <c r="B64" s="20" t="s">
        <v>86</v>
      </c>
      <c r="C64" s="20" t="s">
        <v>86</v>
      </c>
      <c r="D64" s="20" t="s">
        <v>87</v>
      </c>
      <c r="E64" s="8" t="s">
        <v>88</v>
      </c>
      <c r="F64" s="31" t="s">
        <v>89</v>
      </c>
      <c r="G64" s="31" t="str">
        <f t="shared" si="1"/>
        <v>047-2025</v>
      </c>
      <c r="H64" s="32" t="s">
        <v>104</v>
      </c>
      <c r="I64" s="33">
        <v>32522250</v>
      </c>
      <c r="J64" s="34">
        <v>45839</v>
      </c>
      <c r="K64" s="70">
        <v>46022</v>
      </c>
      <c r="L64" s="35" t="s">
        <v>3</v>
      </c>
      <c r="M64" s="35" t="s">
        <v>2</v>
      </c>
      <c r="N64" s="32" t="s">
        <v>172</v>
      </c>
      <c r="O64" s="33">
        <f>5420375*6</f>
        <v>32522250</v>
      </c>
      <c r="P64" s="33">
        <f t="shared" si="0"/>
        <v>0</v>
      </c>
      <c r="Q64" s="36" t="s">
        <v>208</v>
      </c>
      <c r="R64" s="32" t="s">
        <v>350</v>
      </c>
      <c r="S64" s="36" t="s">
        <v>18</v>
      </c>
    </row>
    <row r="65" spans="2:19" ht="256.5">
      <c r="B65" s="20" t="s">
        <v>86</v>
      </c>
      <c r="C65" s="20" t="s">
        <v>86</v>
      </c>
      <c r="D65" s="20" t="s">
        <v>87</v>
      </c>
      <c r="E65" s="8" t="s">
        <v>88</v>
      </c>
      <c r="F65" s="31" t="s">
        <v>89</v>
      </c>
      <c r="G65" s="31" t="str">
        <f t="shared" si="1"/>
        <v>048-2025</v>
      </c>
      <c r="H65" s="32" t="s">
        <v>173</v>
      </c>
      <c r="I65" s="33">
        <v>9005171255</v>
      </c>
      <c r="J65" s="34">
        <v>45848</v>
      </c>
      <c r="K65" s="34">
        <v>46151</v>
      </c>
      <c r="L65" s="35" t="s">
        <v>14</v>
      </c>
      <c r="M65" s="35" t="s">
        <v>2</v>
      </c>
      <c r="N65" s="32" t="s">
        <v>174</v>
      </c>
      <c r="O65" s="33">
        <f>732356.012+1454839930</f>
        <v>1455572286.0120001</v>
      </c>
      <c r="P65" s="33">
        <f t="shared" si="0"/>
        <v>7549598968.9879999</v>
      </c>
      <c r="Q65" s="36" t="s">
        <v>9</v>
      </c>
      <c r="R65" s="32" t="s">
        <v>373</v>
      </c>
      <c r="S65" s="36" t="s">
        <v>5</v>
      </c>
    </row>
    <row r="66" spans="2:19" ht="185.25">
      <c r="B66" s="20" t="s">
        <v>86</v>
      </c>
      <c r="C66" s="20" t="s">
        <v>86</v>
      </c>
      <c r="D66" s="20" t="s">
        <v>87</v>
      </c>
      <c r="E66" s="8" t="s">
        <v>88</v>
      </c>
      <c r="F66" s="31" t="s">
        <v>89</v>
      </c>
      <c r="G66" s="31" t="str">
        <f t="shared" si="1"/>
        <v>049-2025</v>
      </c>
      <c r="H66" s="32" t="s">
        <v>175</v>
      </c>
      <c r="I66" s="33">
        <v>24000000</v>
      </c>
      <c r="J66" s="34">
        <v>45839</v>
      </c>
      <c r="K66" s="70">
        <v>46022</v>
      </c>
      <c r="L66" s="35" t="s">
        <v>3</v>
      </c>
      <c r="M66" s="35" t="s">
        <v>2</v>
      </c>
      <c r="N66" s="32" t="s">
        <v>176</v>
      </c>
      <c r="O66" s="33">
        <f>4000000*6</f>
        <v>24000000</v>
      </c>
      <c r="P66" s="33">
        <f t="shared" si="0"/>
        <v>0</v>
      </c>
      <c r="Q66" s="36" t="s">
        <v>208</v>
      </c>
      <c r="R66" s="32" t="s">
        <v>350</v>
      </c>
      <c r="S66" s="36" t="s">
        <v>18</v>
      </c>
    </row>
    <row r="67" spans="2:19" ht="185.25">
      <c r="B67" s="20" t="s">
        <v>86</v>
      </c>
      <c r="C67" s="20" t="s">
        <v>86</v>
      </c>
      <c r="D67" s="20" t="s">
        <v>87</v>
      </c>
      <c r="E67" s="8" t="s">
        <v>88</v>
      </c>
      <c r="F67" s="31" t="s">
        <v>89</v>
      </c>
      <c r="G67" s="31" t="str">
        <f t="shared" si="1"/>
        <v>050-2025</v>
      </c>
      <c r="H67" s="32" t="s">
        <v>177</v>
      </c>
      <c r="I67" s="33">
        <v>14496714</v>
      </c>
      <c r="J67" s="34">
        <v>45841</v>
      </c>
      <c r="K67" s="70">
        <v>46022</v>
      </c>
      <c r="L67" s="35" t="s">
        <v>3</v>
      </c>
      <c r="M67" s="35" t="s">
        <v>2</v>
      </c>
      <c r="N67" s="32" t="s">
        <v>178</v>
      </c>
      <c r="O67" s="33">
        <f>2416119*6</f>
        <v>14496714</v>
      </c>
      <c r="P67" s="33">
        <f t="shared" si="0"/>
        <v>0</v>
      </c>
      <c r="Q67" s="36" t="s">
        <v>208</v>
      </c>
      <c r="R67" s="32" t="s">
        <v>350</v>
      </c>
      <c r="S67" s="36" t="s">
        <v>18</v>
      </c>
    </row>
    <row r="68" spans="2:19" ht="185.25">
      <c r="B68" s="20" t="s">
        <v>86</v>
      </c>
      <c r="C68" s="20" t="s">
        <v>86</v>
      </c>
      <c r="D68" s="20" t="s">
        <v>87</v>
      </c>
      <c r="E68" s="8" t="s">
        <v>88</v>
      </c>
      <c r="F68" s="31" t="s">
        <v>89</v>
      </c>
      <c r="G68" s="31" t="str">
        <f t="shared" si="1"/>
        <v>051-2025</v>
      </c>
      <c r="H68" s="32" t="s">
        <v>179</v>
      </c>
      <c r="I68" s="33">
        <v>29731020</v>
      </c>
      <c r="J68" s="34">
        <v>45841</v>
      </c>
      <c r="K68" s="70">
        <v>46022</v>
      </c>
      <c r="L68" s="35" t="s">
        <v>3</v>
      </c>
      <c r="M68" s="35" t="s">
        <v>2</v>
      </c>
      <c r="N68" s="32" t="s">
        <v>180</v>
      </c>
      <c r="O68" s="33">
        <f>4955170*6</f>
        <v>29731020</v>
      </c>
      <c r="P68" s="33">
        <f t="shared" si="0"/>
        <v>0</v>
      </c>
      <c r="Q68" s="36" t="s">
        <v>208</v>
      </c>
      <c r="R68" s="32" t="s">
        <v>350</v>
      </c>
      <c r="S68" s="36" t="s">
        <v>18</v>
      </c>
    </row>
    <row r="69" spans="2:19" ht="256.5">
      <c r="B69" s="20" t="s">
        <v>86</v>
      </c>
      <c r="C69" s="20" t="s">
        <v>86</v>
      </c>
      <c r="D69" s="20" t="s">
        <v>87</v>
      </c>
      <c r="E69" s="8" t="s">
        <v>88</v>
      </c>
      <c r="F69" s="31" t="s">
        <v>89</v>
      </c>
      <c r="G69" s="31" t="str">
        <f t="shared" si="1"/>
        <v>052-2025</v>
      </c>
      <c r="H69" s="32" t="s">
        <v>181</v>
      </c>
      <c r="I69" s="33">
        <v>896878924</v>
      </c>
      <c r="J69" s="34">
        <v>45847</v>
      </c>
      <c r="K69" s="34">
        <v>45961</v>
      </c>
      <c r="L69" s="35" t="s">
        <v>14</v>
      </c>
      <c r="M69" s="35" t="s">
        <v>2</v>
      </c>
      <c r="N69" s="32" t="s">
        <v>182</v>
      </c>
      <c r="O69" s="33">
        <f>418222449+170044139</f>
        <v>588266588</v>
      </c>
      <c r="P69" s="33">
        <f t="shared" si="0"/>
        <v>308612336</v>
      </c>
      <c r="Q69" s="36" t="s">
        <v>9</v>
      </c>
      <c r="R69" s="32" t="s">
        <v>373</v>
      </c>
      <c r="S69" s="36" t="s">
        <v>5</v>
      </c>
    </row>
    <row r="70" spans="2:19" ht="256.5">
      <c r="B70" s="20" t="s">
        <v>86</v>
      </c>
      <c r="C70" s="20" t="s">
        <v>86</v>
      </c>
      <c r="D70" s="20" t="s">
        <v>87</v>
      </c>
      <c r="E70" s="8" t="s">
        <v>88</v>
      </c>
      <c r="F70" s="31" t="s">
        <v>89</v>
      </c>
      <c r="G70" s="31" t="str">
        <f t="shared" si="1"/>
        <v>053-2025</v>
      </c>
      <c r="H70" s="32" t="s">
        <v>183</v>
      </c>
      <c r="I70" s="33">
        <v>55502028</v>
      </c>
      <c r="J70" s="34">
        <v>45847</v>
      </c>
      <c r="K70" s="34">
        <v>45961</v>
      </c>
      <c r="L70" s="35" t="s">
        <v>17</v>
      </c>
      <c r="M70" s="35" t="s">
        <v>2</v>
      </c>
      <c r="N70" s="32" t="s">
        <v>184</v>
      </c>
      <c r="O70" s="33">
        <v>25881079.140000001</v>
      </c>
      <c r="P70" s="33">
        <f t="shared" si="0"/>
        <v>29620948.859999999</v>
      </c>
      <c r="Q70" s="36" t="s">
        <v>9</v>
      </c>
      <c r="R70" s="32" t="s">
        <v>373</v>
      </c>
      <c r="S70" s="36" t="s">
        <v>5</v>
      </c>
    </row>
    <row r="71" spans="2:19" ht="256.5">
      <c r="B71" s="20" t="s">
        <v>86</v>
      </c>
      <c r="C71" s="20" t="s">
        <v>86</v>
      </c>
      <c r="D71" s="20" t="s">
        <v>87</v>
      </c>
      <c r="E71" s="8" t="s">
        <v>88</v>
      </c>
      <c r="F71" s="31" t="s">
        <v>89</v>
      </c>
      <c r="G71" s="31" t="str">
        <f t="shared" si="1"/>
        <v>054-2025</v>
      </c>
      <c r="H71" s="32" t="s">
        <v>185</v>
      </c>
      <c r="I71" s="33">
        <v>1039500099</v>
      </c>
      <c r="J71" s="34">
        <v>45847</v>
      </c>
      <c r="K71" s="34">
        <v>46022</v>
      </c>
      <c r="L71" s="35" t="s">
        <v>14</v>
      </c>
      <c r="M71" s="35" t="s">
        <v>2</v>
      </c>
      <c r="N71" s="32" t="s">
        <v>186</v>
      </c>
      <c r="O71" s="33">
        <f>139752220.06+139752220.06+385990525.15</f>
        <v>665494965.26999998</v>
      </c>
      <c r="P71" s="33">
        <f t="shared" si="0"/>
        <v>374005133.73000002</v>
      </c>
      <c r="Q71" s="36" t="s">
        <v>9</v>
      </c>
      <c r="R71" s="32" t="s">
        <v>373</v>
      </c>
      <c r="S71" s="36" t="s">
        <v>5</v>
      </c>
    </row>
    <row r="72" spans="2:19" ht="256.5">
      <c r="B72" s="20" t="s">
        <v>86</v>
      </c>
      <c r="C72" s="20" t="s">
        <v>86</v>
      </c>
      <c r="D72" s="20" t="s">
        <v>87</v>
      </c>
      <c r="E72" s="8" t="s">
        <v>88</v>
      </c>
      <c r="F72" s="31" t="s">
        <v>89</v>
      </c>
      <c r="G72" s="31" t="str">
        <f t="shared" si="1"/>
        <v>055-2025</v>
      </c>
      <c r="H72" s="32" t="s">
        <v>187</v>
      </c>
      <c r="I72" s="33">
        <v>1171401627</v>
      </c>
      <c r="J72" s="34">
        <v>45847</v>
      </c>
      <c r="K72" s="34">
        <v>46022</v>
      </c>
      <c r="L72" s="35" t="s">
        <v>14</v>
      </c>
      <c r="M72" s="35" t="s">
        <v>2</v>
      </c>
      <c r="N72" s="32" t="s">
        <v>188</v>
      </c>
      <c r="O72" s="33">
        <f>301978133+182288043+234904005</f>
        <v>719170181</v>
      </c>
      <c r="P72" s="33">
        <f t="shared" si="0"/>
        <v>452231446</v>
      </c>
      <c r="Q72" s="36" t="s">
        <v>9</v>
      </c>
      <c r="R72" s="32" t="s">
        <v>373</v>
      </c>
      <c r="S72" s="36" t="s">
        <v>5</v>
      </c>
    </row>
    <row r="73" spans="2:19" ht="256.5">
      <c r="B73" s="20" t="s">
        <v>86</v>
      </c>
      <c r="C73" s="20" t="s">
        <v>86</v>
      </c>
      <c r="D73" s="20" t="s">
        <v>87</v>
      </c>
      <c r="E73" s="8" t="s">
        <v>88</v>
      </c>
      <c r="F73" s="31" t="s">
        <v>89</v>
      </c>
      <c r="G73" s="31" t="str">
        <f t="shared" si="1"/>
        <v>056-2025</v>
      </c>
      <c r="H73" s="32" t="s">
        <v>189</v>
      </c>
      <c r="I73" s="33">
        <v>139245716.30000001</v>
      </c>
      <c r="J73" s="34">
        <v>45847</v>
      </c>
      <c r="K73" s="34">
        <v>46022</v>
      </c>
      <c r="L73" s="35" t="s">
        <v>17</v>
      </c>
      <c r="M73" s="35" t="s">
        <v>2</v>
      </c>
      <c r="N73" s="32" t="s">
        <v>190</v>
      </c>
      <c r="O73" s="33">
        <f>19019009.67+27835767.58+8801792.41+14794586.43+11847504.06+24310229.02</f>
        <v>106608889.17</v>
      </c>
      <c r="P73" s="33">
        <f t="shared" si="0"/>
        <v>32636827.13000001</v>
      </c>
      <c r="Q73" s="36" t="s">
        <v>9</v>
      </c>
      <c r="R73" s="32" t="s">
        <v>373</v>
      </c>
      <c r="S73" s="36" t="s">
        <v>5</v>
      </c>
    </row>
    <row r="74" spans="2:19" ht="256.5">
      <c r="B74" s="20" t="s">
        <v>86</v>
      </c>
      <c r="C74" s="20" t="s">
        <v>86</v>
      </c>
      <c r="D74" s="20" t="s">
        <v>87</v>
      </c>
      <c r="E74" s="8" t="s">
        <v>88</v>
      </c>
      <c r="F74" s="31" t="s">
        <v>89</v>
      </c>
      <c r="G74" s="31" t="str">
        <f t="shared" si="1"/>
        <v>057-2025</v>
      </c>
      <c r="H74" s="32" t="s">
        <v>191</v>
      </c>
      <c r="I74" s="33">
        <v>594354187</v>
      </c>
      <c r="J74" s="34">
        <v>45848</v>
      </c>
      <c r="K74" s="34">
        <v>45879</v>
      </c>
      <c r="L74" s="35" t="s">
        <v>17</v>
      </c>
      <c r="M74" s="35" t="s">
        <v>2</v>
      </c>
      <c r="N74" s="32" t="s">
        <v>192</v>
      </c>
      <c r="O74" s="33">
        <f>62464736.25</f>
        <v>62464736.25</v>
      </c>
      <c r="P74" s="33">
        <f t="shared" si="0"/>
        <v>531889450.75</v>
      </c>
      <c r="Q74" s="36" t="s">
        <v>9</v>
      </c>
      <c r="R74" s="32" t="s">
        <v>373</v>
      </c>
      <c r="S74" s="36" t="s">
        <v>5</v>
      </c>
    </row>
    <row r="75" spans="2:19" ht="256.5">
      <c r="B75" s="20" t="s">
        <v>86</v>
      </c>
      <c r="C75" s="20" t="s">
        <v>86</v>
      </c>
      <c r="D75" s="20" t="s">
        <v>87</v>
      </c>
      <c r="E75" s="8" t="s">
        <v>88</v>
      </c>
      <c r="F75" s="31" t="s">
        <v>89</v>
      </c>
      <c r="G75" s="31" t="str">
        <f t="shared" si="1"/>
        <v>058-2025</v>
      </c>
      <c r="H75" s="32" t="s">
        <v>193</v>
      </c>
      <c r="I75" s="33">
        <v>143764790</v>
      </c>
      <c r="J75" s="34">
        <v>45849</v>
      </c>
      <c r="K75" s="34">
        <v>45910</v>
      </c>
      <c r="L75" s="35" t="s">
        <v>14</v>
      </c>
      <c r="M75" s="35" t="s">
        <v>2</v>
      </c>
      <c r="N75" s="32" t="s">
        <v>194</v>
      </c>
      <c r="O75" s="33">
        <f>90663668</f>
        <v>90663668</v>
      </c>
      <c r="P75" s="33">
        <f t="shared" si="0"/>
        <v>53101122</v>
      </c>
      <c r="Q75" s="36" t="s">
        <v>9</v>
      </c>
      <c r="R75" s="32" t="s">
        <v>373</v>
      </c>
      <c r="S75" s="36" t="s">
        <v>5</v>
      </c>
    </row>
    <row r="76" spans="2:19" ht="185.25">
      <c r="B76" s="20" t="s">
        <v>86</v>
      </c>
      <c r="C76" s="20" t="s">
        <v>86</v>
      </c>
      <c r="D76" s="20" t="s">
        <v>87</v>
      </c>
      <c r="E76" s="8" t="s">
        <v>88</v>
      </c>
      <c r="F76" s="31" t="s">
        <v>89</v>
      </c>
      <c r="G76" s="31" t="str">
        <f t="shared" si="1"/>
        <v>059-2025</v>
      </c>
      <c r="H76" s="44" t="s">
        <v>195</v>
      </c>
      <c r="I76" s="33">
        <v>15000000</v>
      </c>
      <c r="J76" s="34">
        <v>45854</v>
      </c>
      <c r="K76" s="70">
        <v>45915</v>
      </c>
      <c r="L76" s="35" t="s">
        <v>3</v>
      </c>
      <c r="M76" s="35" t="s">
        <v>2</v>
      </c>
      <c r="N76" s="45" t="s">
        <v>196</v>
      </c>
      <c r="O76" s="33">
        <v>15000000</v>
      </c>
      <c r="P76" s="33">
        <f t="shared" si="0"/>
        <v>0</v>
      </c>
      <c r="Q76" s="36" t="s">
        <v>208</v>
      </c>
      <c r="R76" s="32" t="s">
        <v>350</v>
      </c>
      <c r="S76" s="36" t="s">
        <v>18</v>
      </c>
    </row>
    <row r="77" spans="2:19" ht="185.25">
      <c r="B77" s="20" t="s">
        <v>86</v>
      </c>
      <c r="C77" s="20" t="s">
        <v>86</v>
      </c>
      <c r="D77" s="20" t="s">
        <v>87</v>
      </c>
      <c r="E77" s="8" t="s">
        <v>88</v>
      </c>
      <c r="F77" s="31" t="s">
        <v>89</v>
      </c>
      <c r="G77" s="31" t="str">
        <f t="shared" si="1"/>
        <v>060-2025</v>
      </c>
      <c r="H77" s="32" t="s">
        <v>197</v>
      </c>
      <c r="I77" s="33">
        <v>16772880</v>
      </c>
      <c r="J77" s="34">
        <v>45853</v>
      </c>
      <c r="K77" s="70">
        <v>46022</v>
      </c>
      <c r="L77" s="35" t="s">
        <v>3</v>
      </c>
      <c r="M77" s="35" t="s">
        <v>2</v>
      </c>
      <c r="N77" s="32" t="s">
        <v>198</v>
      </c>
      <c r="O77" s="33">
        <f>2795480*6</f>
        <v>16772880</v>
      </c>
      <c r="P77" s="33">
        <f t="shared" si="0"/>
        <v>0</v>
      </c>
      <c r="Q77" s="36" t="s">
        <v>208</v>
      </c>
      <c r="R77" s="32" t="s">
        <v>350</v>
      </c>
      <c r="S77" s="36" t="s">
        <v>18</v>
      </c>
    </row>
    <row r="78" spans="2:19" ht="185.25">
      <c r="B78" s="20" t="s">
        <v>86</v>
      </c>
      <c r="C78" s="20" t="s">
        <v>86</v>
      </c>
      <c r="D78" s="20" t="s">
        <v>87</v>
      </c>
      <c r="E78" s="8" t="s">
        <v>88</v>
      </c>
      <c r="F78" s="31" t="s">
        <v>89</v>
      </c>
      <c r="G78" s="31" t="str">
        <f t="shared" si="1"/>
        <v>061-2025</v>
      </c>
      <c r="H78" s="32" t="s">
        <v>199</v>
      </c>
      <c r="I78" s="33">
        <v>22923450</v>
      </c>
      <c r="J78" s="34">
        <v>45854</v>
      </c>
      <c r="K78" s="70">
        <v>46022</v>
      </c>
      <c r="L78" s="35" t="s">
        <v>3</v>
      </c>
      <c r="M78" s="35" t="s">
        <v>2</v>
      </c>
      <c r="N78" s="32" t="s">
        <v>200</v>
      </c>
      <c r="O78" s="33">
        <f>3820575*6</f>
        <v>22923450</v>
      </c>
      <c r="P78" s="33">
        <f t="shared" si="0"/>
        <v>0</v>
      </c>
      <c r="Q78" s="36" t="s">
        <v>208</v>
      </c>
      <c r="R78" s="32" t="s">
        <v>350</v>
      </c>
      <c r="S78" s="36" t="s">
        <v>18</v>
      </c>
    </row>
    <row r="79" spans="2:19" ht="185.25">
      <c r="B79" s="20" t="s">
        <v>86</v>
      </c>
      <c r="C79" s="20" t="s">
        <v>86</v>
      </c>
      <c r="D79" s="20" t="s">
        <v>87</v>
      </c>
      <c r="E79" s="8" t="s">
        <v>88</v>
      </c>
      <c r="F79" s="31" t="s">
        <v>89</v>
      </c>
      <c r="G79" s="31" t="str">
        <f t="shared" si="1"/>
        <v>062-2025</v>
      </c>
      <c r="H79" s="32" t="s">
        <v>201</v>
      </c>
      <c r="I79" s="33">
        <v>16772880</v>
      </c>
      <c r="J79" s="34">
        <v>45823</v>
      </c>
      <c r="K79" s="70">
        <v>46022</v>
      </c>
      <c r="L79" s="35" t="s">
        <v>3</v>
      </c>
      <c r="M79" s="35" t="s">
        <v>2</v>
      </c>
      <c r="N79" s="32" t="s">
        <v>202</v>
      </c>
      <c r="O79" s="33" t="s">
        <v>345</v>
      </c>
      <c r="P79" s="33" t="e">
        <f t="shared" si="0"/>
        <v>#VALUE!</v>
      </c>
      <c r="Q79" s="36" t="s">
        <v>208</v>
      </c>
      <c r="R79" s="32" t="s">
        <v>350</v>
      </c>
      <c r="S79" s="36" t="s">
        <v>18</v>
      </c>
    </row>
    <row r="80" spans="2:19" ht="185.25">
      <c r="B80" s="20" t="s">
        <v>86</v>
      </c>
      <c r="C80" s="20" t="s">
        <v>86</v>
      </c>
      <c r="D80" s="20" t="s">
        <v>87</v>
      </c>
      <c r="E80" s="8" t="s">
        <v>88</v>
      </c>
      <c r="F80" s="31" t="s">
        <v>89</v>
      </c>
      <c r="G80" s="31" t="str">
        <f t="shared" si="1"/>
        <v>063-2025</v>
      </c>
      <c r="H80" s="32" t="s">
        <v>203</v>
      </c>
      <c r="I80" s="33">
        <v>20400000</v>
      </c>
      <c r="J80" s="34">
        <v>45853</v>
      </c>
      <c r="K80" s="70">
        <v>46022</v>
      </c>
      <c r="L80" s="35" t="s">
        <v>3</v>
      </c>
      <c r="M80" s="35" t="s">
        <v>2</v>
      </c>
      <c r="N80" s="32" t="s">
        <v>204</v>
      </c>
      <c r="O80" s="33">
        <f>3400000*6</f>
        <v>20400000</v>
      </c>
      <c r="P80" s="33">
        <f t="shared" si="0"/>
        <v>0</v>
      </c>
      <c r="Q80" s="36" t="s">
        <v>208</v>
      </c>
      <c r="R80" s="32" t="s">
        <v>350</v>
      </c>
      <c r="S80" s="36" t="s">
        <v>18</v>
      </c>
    </row>
    <row r="81" spans="1:20" ht="256.5">
      <c r="B81" s="20" t="s">
        <v>86</v>
      </c>
      <c r="C81" s="20" t="s">
        <v>86</v>
      </c>
      <c r="D81" s="20" t="s">
        <v>87</v>
      </c>
      <c r="E81" s="8" t="s">
        <v>88</v>
      </c>
      <c r="F81" s="40" t="s">
        <v>89</v>
      </c>
      <c r="G81" s="40" t="str">
        <f t="shared" si="1"/>
        <v>064-2025</v>
      </c>
      <c r="H81" s="32" t="s">
        <v>205</v>
      </c>
      <c r="I81" s="33">
        <v>50079948</v>
      </c>
      <c r="J81" s="34">
        <v>45863</v>
      </c>
      <c r="K81" s="34">
        <v>45893</v>
      </c>
      <c r="L81" s="35" t="s">
        <v>14</v>
      </c>
      <c r="M81" s="35" t="s">
        <v>2</v>
      </c>
      <c r="N81" s="32" t="s">
        <v>206</v>
      </c>
      <c r="O81" s="33">
        <f>17998318+5312410</f>
        <v>23310728</v>
      </c>
      <c r="P81" s="33">
        <f t="shared" si="0"/>
        <v>26769220</v>
      </c>
      <c r="Q81" s="36" t="s">
        <v>9</v>
      </c>
      <c r="R81" s="32" t="s">
        <v>373</v>
      </c>
      <c r="S81" s="36" t="s">
        <v>5</v>
      </c>
    </row>
    <row r="82" spans="1:20" ht="185.25">
      <c r="A82" s="29"/>
      <c r="B82" s="20" t="s">
        <v>86</v>
      </c>
      <c r="C82" s="20" t="s">
        <v>86</v>
      </c>
      <c r="D82" s="20" t="s">
        <v>87</v>
      </c>
      <c r="E82" s="8" t="s">
        <v>88</v>
      </c>
      <c r="F82" s="40" t="s">
        <v>89</v>
      </c>
      <c r="G82" s="40" t="str">
        <f>TEXT(ROW(A65),"000")&amp;"-2025"</f>
        <v>065-2025</v>
      </c>
      <c r="H82" s="32" t="s">
        <v>211</v>
      </c>
      <c r="I82" s="33">
        <v>283926840</v>
      </c>
      <c r="J82" s="34">
        <v>45883</v>
      </c>
      <c r="K82" s="34">
        <v>45961</v>
      </c>
      <c r="L82" s="35" t="s">
        <v>14</v>
      </c>
      <c r="M82" s="35" t="s">
        <v>2</v>
      </c>
      <c r="N82" s="32" t="s">
        <v>212</v>
      </c>
      <c r="O82" s="33">
        <v>283926840</v>
      </c>
      <c r="P82" s="33">
        <f t="shared" ref="P82:P128" si="2">I82-O82</f>
        <v>0</v>
      </c>
      <c r="Q82" s="36" t="s">
        <v>208</v>
      </c>
      <c r="R82" s="32" t="s">
        <v>350</v>
      </c>
      <c r="S82" s="32" t="s">
        <v>5</v>
      </c>
    </row>
    <row r="83" spans="1:20" ht="256.5">
      <c r="B83" s="20" t="s">
        <v>86</v>
      </c>
      <c r="C83" s="20" t="s">
        <v>86</v>
      </c>
      <c r="D83" s="20" t="s">
        <v>87</v>
      </c>
      <c r="E83" s="8" t="s">
        <v>88</v>
      </c>
      <c r="F83" s="40" t="s">
        <v>89</v>
      </c>
      <c r="G83" s="40" t="str">
        <f>TEXT(ROW(A66),"000")&amp;"-2025"</f>
        <v>066-2025</v>
      </c>
      <c r="H83" s="32" t="s">
        <v>213</v>
      </c>
      <c r="I83" s="33">
        <v>521698523</v>
      </c>
      <c r="J83" s="34">
        <v>45925</v>
      </c>
      <c r="K83" s="34">
        <v>46006</v>
      </c>
      <c r="L83" s="35" t="s">
        <v>14</v>
      </c>
      <c r="M83" s="35" t="s">
        <v>2</v>
      </c>
      <c r="N83" s="32" t="s">
        <v>214</v>
      </c>
      <c r="O83" s="33">
        <v>359800630.04000002</v>
      </c>
      <c r="P83" s="33">
        <f t="shared" si="2"/>
        <v>161897892.95999998</v>
      </c>
      <c r="Q83" s="36" t="s">
        <v>9</v>
      </c>
      <c r="R83" s="32" t="s">
        <v>373</v>
      </c>
      <c r="S83" s="46" t="s">
        <v>5</v>
      </c>
    </row>
    <row r="84" spans="1:20" s="39" customFormat="1" ht="185.25">
      <c r="B84" s="20" t="s">
        <v>86</v>
      </c>
      <c r="C84" s="20" t="s">
        <v>86</v>
      </c>
      <c r="D84" s="20" t="s">
        <v>87</v>
      </c>
      <c r="E84" s="8" t="s">
        <v>88</v>
      </c>
      <c r="F84" s="40" t="s">
        <v>89</v>
      </c>
      <c r="G84" s="40" t="str">
        <f>TEXT(ROW(A67),"000")&amp;"-2025"</f>
        <v>067-2025</v>
      </c>
      <c r="H84" s="32" t="s">
        <v>216</v>
      </c>
      <c r="I84" s="33">
        <v>29022910</v>
      </c>
      <c r="J84" s="34">
        <v>45873</v>
      </c>
      <c r="K84" s="70">
        <v>45904</v>
      </c>
      <c r="L84" s="35" t="s">
        <v>11</v>
      </c>
      <c r="M84" s="35" t="s">
        <v>2</v>
      </c>
      <c r="N84" s="32" t="s">
        <v>215</v>
      </c>
      <c r="O84" s="33">
        <v>29022909.989999998</v>
      </c>
      <c r="P84" s="33">
        <f t="shared" si="2"/>
        <v>1.0000001639127731E-2</v>
      </c>
      <c r="Q84" s="36" t="s">
        <v>208</v>
      </c>
      <c r="R84" s="32" t="s">
        <v>350</v>
      </c>
      <c r="S84" s="46" t="s">
        <v>18</v>
      </c>
      <c r="T84" s="39" t="s">
        <v>302</v>
      </c>
    </row>
    <row r="85" spans="1:20" ht="228">
      <c r="B85" s="20" t="s">
        <v>86</v>
      </c>
      <c r="C85" s="20" t="s">
        <v>86</v>
      </c>
      <c r="D85" s="20" t="s">
        <v>87</v>
      </c>
      <c r="E85" s="8" t="s">
        <v>88</v>
      </c>
      <c r="F85" s="40" t="s">
        <v>89</v>
      </c>
      <c r="G85" s="40" t="str">
        <f t="shared" ref="G85:G128" si="3">TEXT(ROW(A68),"000")&amp;"-2025"</f>
        <v>068-2025</v>
      </c>
      <c r="H85" s="32" t="s">
        <v>217</v>
      </c>
      <c r="I85" s="33">
        <v>1259015967</v>
      </c>
      <c r="J85" s="34">
        <v>45889</v>
      </c>
      <c r="K85" s="47" t="s">
        <v>224</v>
      </c>
      <c r="L85" s="35" t="s">
        <v>14</v>
      </c>
      <c r="M85" s="35" t="s">
        <v>2</v>
      </c>
      <c r="N85" s="32" t="s">
        <v>218</v>
      </c>
      <c r="O85" s="33"/>
      <c r="P85" s="33">
        <f t="shared" si="2"/>
        <v>1259015967</v>
      </c>
      <c r="Q85" s="36" t="s">
        <v>9</v>
      </c>
      <c r="R85" s="32" t="s">
        <v>369</v>
      </c>
      <c r="S85" s="46" t="s">
        <v>5</v>
      </c>
      <c r="T85" s="1" t="s">
        <v>302</v>
      </c>
    </row>
    <row r="86" spans="1:20" ht="256.5">
      <c r="B86" s="20" t="s">
        <v>86</v>
      </c>
      <c r="C86" s="20" t="s">
        <v>86</v>
      </c>
      <c r="D86" s="20" t="s">
        <v>87</v>
      </c>
      <c r="E86" s="8" t="s">
        <v>88</v>
      </c>
      <c r="F86" s="40" t="s">
        <v>89</v>
      </c>
      <c r="G86" s="40" t="str">
        <f t="shared" si="3"/>
        <v>069-2025</v>
      </c>
      <c r="H86" s="32" t="s">
        <v>219</v>
      </c>
      <c r="I86" s="33">
        <v>2185518766</v>
      </c>
      <c r="J86" s="34">
        <v>45882</v>
      </c>
      <c r="K86" s="34">
        <v>46022</v>
      </c>
      <c r="L86" s="35" t="s">
        <v>14</v>
      </c>
      <c r="M86" s="35" t="s">
        <v>2</v>
      </c>
      <c r="N86" s="32" t="s">
        <v>220</v>
      </c>
      <c r="O86" s="33">
        <f>807686745+1040682606+110099170</f>
        <v>1958468521</v>
      </c>
      <c r="P86" s="33">
        <f t="shared" si="2"/>
        <v>227050245</v>
      </c>
      <c r="Q86" s="36" t="s">
        <v>9</v>
      </c>
      <c r="R86" s="32" t="s">
        <v>373</v>
      </c>
      <c r="S86" s="46" t="s">
        <v>5</v>
      </c>
    </row>
    <row r="87" spans="1:20" ht="256.5">
      <c r="B87" s="20" t="s">
        <v>86</v>
      </c>
      <c r="C87" s="20" t="s">
        <v>86</v>
      </c>
      <c r="D87" s="20" t="s">
        <v>87</v>
      </c>
      <c r="E87" s="8" t="s">
        <v>88</v>
      </c>
      <c r="F87" s="40" t="s">
        <v>89</v>
      </c>
      <c r="G87" s="40" t="str">
        <f t="shared" si="3"/>
        <v>070-2025</v>
      </c>
      <c r="H87" s="32" t="s">
        <v>221</v>
      </c>
      <c r="I87" s="33">
        <v>313265017</v>
      </c>
      <c r="J87" s="34">
        <v>45883</v>
      </c>
      <c r="K87" s="47" t="s">
        <v>222</v>
      </c>
      <c r="L87" s="35" t="s">
        <v>14</v>
      </c>
      <c r="M87" s="35" t="s">
        <v>2</v>
      </c>
      <c r="N87" s="32" t="s">
        <v>223</v>
      </c>
      <c r="O87" s="33">
        <f>182288043+130919681</f>
        <v>313207724</v>
      </c>
      <c r="P87" s="33">
        <f t="shared" si="2"/>
        <v>57293</v>
      </c>
      <c r="Q87" s="36" t="s">
        <v>9</v>
      </c>
      <c r="R87" s="32" t="s">
        <v>373</v>
      </c>
      <c r="S87" s="46" t="s">
        <v>5</v>
      </c>
    </row>
    <row r="88" spans="1:20" ht="185.25">
      <c r="B88" s="20" t="s">
        <v>86</v>
      </c>
      <c r="C88" s="20" t="s">
        <v>86</v>
      </c>
      <c r="D88" s="20" t="s">
        <v>87</v>
      </c>
      <c r="E88" s="8" t="s">
        <v>88</v>
      </c>
      <c r="F88" s="40" t="s">
        <v>89</v>
      </c>
      <c r="G88" s="40" t="str">
        <f t="shared" si="3"/>
        <v>071-2025</v>
      </c>
      <c r="H88" s="32" t="s">
        <v>225</v>
      </c>
      <c r="I88" s="33">
        <v>49625216.649999999</v>
      </c>
      <c r="J88" s="34">
        <v>45882</v>
      </c>
      <c r="K88" s="35" t="s">
        <v>226</v>
      </c>
      <c r="L88" s="35" t="s">
        <v>14</v>
      </c>
      <c r="M88" s="35" t="s">
        <v>2</v>
      </c>
      <c r="N88" s="32" t="s">
        <v>227</v>
      </c>
      <c r="O88" s="33">
        <v>49625216.649999999</v>
      </c>
      <c r="P88" s="33">
        <f t="shared" si="2"/>
        <v>0</v>
      </c>
      <c r="Q88" s="36" t="s">
        <v>208</v>
      </c>
      <c r="R88" s="32" t="s">
        <v>350</v>
      </c>
      <c r="S88" s="46" t="s">
        <v>5</v>
      </c>
      <c r="T88" s="1" t="s">
        <v>302</v>
      </c>
    </row>
    <row r="89" spans="1:20" ht="256.5">
      <c r="B89" s="20" t="s">
        <v>86</v>
      </c>
      <c r="C89" s="20" t="s">
        <v>86</v>
      </c>
      <c r="D89" s="20" t="s">
        <v>87</v>
      </c>
      <c r="E89" s="8" t="s">
        <v>88</v>
      </c>
      <c r="F89" s="40" t="s">
        <v>89</v>
      </c>
      <c r="G89" s="40" t="str">
        <f t="shared" si="3"/>
        <v>072-2025</v>
      </c>
      <c r="H89" s="32" t="s">
        <v>228</v>
      </c>
      <c r="I89" s="33">
        <v>148725693</v>
      </c>
      <c r="J89" s="34">
        <v>45882</v>
      </c>
      <c r="K89" s="34">
        <v>46022</v>
      </c>
      <c r="L89" s="35" t="s">
        <v>17</v>
      </c>
      <c r="M89" s="35" t="s">
        <v>2</v>
      </c>
      <c r="N89" s="32" t="s">
        <v>229</v>
      </c>
      <c r="O89" s="33">
        <f>54963504.68+70778164.36+7492306</f>
        <v>133233975.03999999</v>
      </c>
      <c r="P89" s="33">
        <f t="shared" si="2"/>
        <v>15491717.960000008</v>
      </c>
      <c r="Q89" s="36" t="s">
        <v>9</v>
      </c>
      <c r="R89" s="32" t="s">
        <v>373</v>
      </c>
      <c r="S89" s="46" t="s">
        <v>5</v>
      </c>
    </row>
    <row r="90" spans="1:20" ht="256.5">
      <c r="B90" s="20" t="s">
        <v>86</v>
      </c>
      <c r="C90" s="20" t="s">
        <v>86</v>
      </c>
      <c r="D90" s="20" t="s">
        <v>87</v>
      </c>
      <c r="E90" s="8" t="s">
        <v>88</v>
      </c>
      <c r="F90" s="40" t="s">
        <v>89</v>
      </c>
      <c r="G90" s="40" t="str">
        <f t="shared" si="3"/>
        <v>073-2025</v>
      </c>
      <c r="H90" s="32" t="s">
        <v>230</v>
      </c>
      <c r="I90" s="33">
        <v>10864861882</v>
      </c>
      <c r="J90" s="34">
        <v>45883</v>
      </c>
      <c r="K90" s="34">
        <v>46022</v>
      </c>
      <c r="L90" s="35" t="s">
        <v>14</v>
      </c>
      <c r="M90" s="35" t="s">
        <v>2</v>
      </c>
      <c r="N90" s="32" t="s">
        <v>231</v>
      </c>
      <c r="O90" s="33">
        <f>1590176980+3799841580</f>
        <v>5390018560</v>
      </c>
      <c r="P90" s="33">
        <f t="shared" si="2"/>
        <v>5474843322</v>
      </c>
      <c r="Q90" s="36" t="s">
        <v>9</v>
      </c>
      <c r="R90" s="32" t="s">
        <v>373</v>
      </c>
      <c r="S90" s="46" t="s">
        <v>5</v>
      </c>
    </row>
    <row r="91" spans="1:20" ht="256.5">
      <c r="B91" s="20" t="s">
        <v>86</v>
      </c>
      <c r="C91" s="20" t="s">
        <v>86</v>
      </c>
      <c r="D91" s="20" t="s">
        <v>87</v>
      </c>
      <c r="E91" s="8" t="s">
        <v>88</v>
      </c>
      <c r="F91" s="40" t="s">
        <v>89</v>
      </c>
      <c r="G91" s="40" t="str">
        <f t="shared" si="3"/>
        <v>074-2025</v>
      </c>
      <c r="H91" s="32" t="s">
        <v>232</v>
      </c>
      <c r="I91" s="33">
        <v>709103199</v>
      </c>
      <c r="J91" s="34">
        <v>45883</v>
      </c>
      <c r="K91" s="34">
        <v>46022</v>
      </c>
      <c r="L91" s="35" t="s">
        <v>17</v>
      </c>
      <c r="M91" s="35" t="s">
        <v>2</v>
      </c>
      <c r="N91" s="32" t="s">
        <v>233</v>
      </c>
      <c r="O91" s="33">
        <v>56167117.329999998</v>
      </c>
      <c r="P91" s="33">
        <f t="shared" si="2"/>
        <v>652936081.66999996</v>
      </c>
      <c r="Q91" s="36" t="s">
        <v>9</v>
      </c>
      <c r="R91" s="32" t="s">
        <v>373</v>
      </c>
      <c r="S91" s="46" t="s">
        <v>5</v>
      </c>
    </row>
    <row r="92" spans="1:20" ht="256.5">
      <c r="B92" s="20" t="s">
        <v>86</v>
      </c>
      <c r="C92" s="20" t="s">
        <v>86</v>
      </c>
      <c r="D92" s="20" t="s">
        <v>87</v>
      </c>
      <c r="E92" s="8" t="s">
        <v>88</v>
      </c>
      <c r="F92" s="40" t="s">
        <v>89</v>
      </c>
      <c r="G92" s="40" t="str">
        <f t="shared" si="3"/>
        <v>075-2025</v>
      </c>
      <c r="H92" s="32" t="s">
        <v>234</v>
      </c>
      <c r="I92" s="33">
        <v>40278051</v>
      </c>
      <c r="J92" s="34">
        <v>45889</v>
      </c>
      <c r="K92" s="34">
        <v>46022</v>
      </c>
      <c r="L92" s="35" t="s">
        <v>3</v>
      </c>
      <c r="M92" s="35" t="s">
        <v>2</v>
      </c>
      <c r="N92" s="32" t="s">
        <v>235</v>
      </c>
      <c r="O92" s="33">
        <f>4475339+8950678+8950678+8950678</f>
        <v>31327373</v>
      </c>
      <c r="P92" s="33">
        <f t="shared" si="2"/>
        <v>8950678</v>
      </c>
      <c r="Q92" s="36" t="s">
        <v>9</v>
      </c>
      <c r="R92" s="32" t="s">
        <v>373</v>
      </c>
      <c r="S92" s="46" t="s">
        <v>5</v>
      </c>
    </row>
    <row r="93" spans="1:20" ht="256.5">
      <c r="B93" s="20" t="s">
        <v>86</v>
      </c>
      <c r="C93" s="20" t="s">
        <v>86</v>
      </c>
      <c r="D93" s="20" t="s">
        <v>87</v>
      </c>
      <c r="E93" s="8" t="s">
        <v>88</v>
      </c>
      <c r="F93" s="40" t="s">
        <v>89</v>
      </c>
      <c r="G93" s="40" t="str">
        <f t="shared" si="3"/>
        <v>076-2025</v>
      </c>
      <c r="H93" s="32" t="s">
        <v>236</v>
      </c>
      <c r="I93" s="33">
        <v>13389772</v>
      </c>
      <c r="J93" s="34">
        <v>45888</v>
      </c>
      <c r="K93" s="34">
        <v>46022</v>
      </c>
      <c r="L93" s="35" t="s">
        <v>3</v>
      </c>
      <c r="M93" s="35" t="s">
        <v>2</v>
      </c>
      <c r="N93" s="32" t="s">
        <v>237</v>
      </c>
      <c r="O93" s="33">
        <f>1487752+2975505+2975505+2975505</f>
        <v>10414267</v>
      </c>
      <c r="P93" s="33">
        <f t="shared" si="2"/>
        <v>2975505</v>
      </c>
      <c r="Q93" s="36" t="s">
        <v>9</v>
      </c>
      <c r="R93" s="32" t="s">
        <v>373</v>
      </c>
      <c r="S93" s="46" t="s">
        <v>5</v>
      </c>
    </row>
    <row r="94" spans="1:20" ht="256.5">
      <c r="B94" s="20" t="s">
        <v>86</v>
      </c>
      <c r="C94" s="20" t="s">
        <v>86</v>
      </c>
      <c r="D94" s="20" t="s">
        <v>87</v>
      </c>
      <c r="E94" s="8" t="s">
        <v>88</v>
      </c>
      <c r="F94" s="40" t="s">
        <v>89</v>
      </c>
      <c r="G94" s="40" t="str">
        <f t="shared" si="3"/>
        <v>077-2025</v>
      </c>
      <c r="H94" s="32" t="s">
        <v>238</v>
      </c>
      <c r="I94" s="33">
        <v>3695353167</v>
      </c>
      <c r="J94" s="34">
        <v>45896</v>
      </c>
      <c r="K94" s="34">
        <v>46022</v>
      </c>
      <c r="L94" s="35" t="s">
        <v>14</v>
      </c>
      <c r="M94" s="35" t="s">
        <v>2</v>
      </c>
      <c r="N94" s="32" t="s">
        <v>239</v>
      </c>
      <c r="O94" s="33">
        <v>875924602</v>
      </c>
      <c r="P94" s="33">
        <f t="shared" si="2"/>
        <v>2819428565</v>
      </c>
      <c r="Q94" s="36" t="s">
        <v>9</v>
      </c>
      <c r="R94" s="32" t="s">
        <v>373</v>
      </c>
      <c r="S94" s="46" t="s">
        <v>5</v>
      </c>
    </row>
    <row r="95" spans="1:20" ht="256.5">
      <c r="B95" s="20" t="s">
        <v>86</v>
      </c>
      <c r="C95" s="20" t="s">
        <v>86</v>
      </c>
      <c r="D95" s="20" t="s">
        <v>87</v>
      </c>
      <c r="E95" s="8" t="s">
        <v>88</v>
      </c>
      <c r="F95" s="40" t="s">
        <v>89</v>
      </c>
      <c r="G95" s="40" t="str">
        <f t="shared" si="3"/>
        <v>078-2025</v>
      </c>
      <c r="H95" s="32" t="s">
        <v>240</v>
      </c>
      <c r="I95" s="33">
        <v>2218337500</v>
      </c>
      <c r="J95" s="34">
        <v>45896</v>
      </c>
      <c r="K95" s="34">
        <v>46022</v>
      </c>
      <c r="L95" s="35" t="s">
        <v>14</v>
      </c>
      <c r="M95" s="35" t="s">
        <v>2</v>
      </c>
      <c r="N95" s="32" t="s">
        <v>241</v>
      </c>
      <c r="O95" s="33">
        <v>620601132</v>
      </c>
      <c r="P95" s="33">
        <f t="shared" si="2"/>
        <v>1597736368</v>
      </c>
      <c r="Q95" s="36" t="s">
        <v>9</v>
      </c>
      <c r="R95" s="32" t="s">
        <v>373</v>
      </c>
      <c r="S95" s="46" t="s">
        <v>5</v>
      </c>
    </row>
    <row r="96" spans="1:20" ht="256.5">
      <c r="B96" s="20" t="s">
        <v>86</v>
      </c>
      <c r="C96" s="20" t="s">
        <v>86</v>
      </c>
      <c r="D96" s="20" t="s">
        <v>87</v>
      </c>
      <c r="E96" s="8" t="s">
        <v>88</v>
      </c>
      <c r="F96" s="40" t="s">
        <v>89</v>
      </c>
      <c r="G96" s="40" t="str">
        <f t="shared" si="3"/>
        <v>079-2025</v>
      </c>
      <c r="H96" s="32" t="s">
        <v>242</v>
      </c>
      <c r="I96" s="33">
        <v>1577676317</v>
      </c>
      <c r="J96" s="34">
        <v>45896</v>
      </c>
      <c r="K96" s="34">
        <v>46022</v>
      </c>
      <c r="L96" s="35" t="s">
        <v>14</v>
      </c>
      <c r="M96" s="35" t="s">
        <v>2</v>
      </c>
      <c r="N96" s="32" t="s">
        <v>243</v>
      </c>
      <c r="O96" s="33">
        <v>1190189660</v>
      </c>
      <c r="P96" s="33">
        <f t="shared" si="2"/>
        <v>387486657</v>
      </c>
      <c r="Q96" s="36" t="s">
        <v>9</v>
      </c>
      <c r="R96" s="32" t="s">
        <v>373</v>
      </c>
      <c r="S96" s="46" t="s">
        <v>5</v>
      </c>
    </row>
    <row r="97" spans="2:20" ht="256.5">
      <c r="B97" s="20" t="s">
        <v>86</v>
      </c>
      <c r="C97" s="20" t="s">
        <v>86</v>
      </c>
      <c r="D97" s="20" t="s">
        <v>87</v>
      </c>
      <c r="E97" s="8" t="s">
        <v>88</v>
      </c>
      <c r="F97" s="40" t="s">
        <v>89</v>
      </c>
      <c r="G97" s="40" t="str">
        <f t="shared" si="3"/>
        <v>080-2025</v>
      </c>
      <c r="H97" s="32" t="s">
        <v>244</v>
      </c>
      <c r="I97" s="33">
        <v>2436754681</v>
      </c>
      <c r="J97" s="34">
        <v>45896</v>
      </c>
      <c r="K97" s="34">
        <v>46022</v>
      </c>
      <c r="L97" s="35" t="s">
        <v>14</v>
      </c>
      <c r="M97" s="35" t="s">
        <v>2</v>
      </c>
      <c r="N97" s="42" t="s">
        <v>245</v>
      </c>
      <c r="O97" s="33">
        <v>1755171071</v>
      </c>
      <c r="P97" s="33">
        <f t="shared" si="2"/>
        <v>681583610</v>
      </c>
      <c r="Q97" s="36" t="s">
        <v>9</v>
      </c>
      <c r="R97" s="32" t="s">
        <v>373</v>
      </c>
      <c r="S97" s="46" t="s">
        <v>5</v>
      </c>
    </row>
    <row r="98" spans="2:20" ht="256.5">
      <c r="B98" s="20" t="s">
        <v>86</v>
      </c>
      <c r="C98" s="20" t="s">
        <v>86</v>
      </c>
      <c r="D98" s="20" t="s">
        <v>87</v>
      </c>
      <c r="E98" s="8" t="s">
        <v>88</v>
      </c>
      <c r="F98" s="40" t="s">
        <v>89</v>
      </c>
      <c r="G98" s="40" t="str">
        <f t="shared" si="3"/>
        <v>081-2025</v>
      </c>
      <c r="H98" s="32" t="s">
        <v>246</v>
      </c>
      <c r="I98" s="33">
        <v>626582648</v>
      </c>
      <c r="J98" s="34">
        <v>45894</v>
      </c>
      <c r="K98" s="34">
        <v>46022</v>
      </c>
      <c r="L98" s="35" t="s">
        <v>14</v>
      </c>
      <c r="M98" s="35" t="s">
        <v>2</v>
      </c>
      <c r="N98" s="42" t="s">
        <v>247</v>
      </c>
      <c r="O98" s="33">
        <f>125316529+280935791+157672065.94+62858262</f>
        <v>626782647.94000006</v>
      </c>
      <c r="P98" s="33">
        <f t="shared" si="2"/>
        <v>-199999.94000005722</v>
      </c>
      <c r="Q98" s="36" t="s">
        <v>9</v>
      </c>
      <c r="R98" s="32" t="s">
        <v>373</v>
      </c>
      <c r="S98" s="46" t="s">
        <v>5</v>
      </c>
    </row>
    <row r="99" spans="2:20" ht="256.5">
      <c r="B99" s="20" t="s">
        <v>86</v>
      </c>
      <c r="C99" s="20" t="s">
        <v>86</v>
      </c>
      <c r="D99" s="20" t="s">
        <v>87</v>
      </c>
      <c r="E99" s="8" t="s">
        <v>88</v>
      </c>
      <c r="F99" s="40" t="s">
        <v>89</v>
      </c>
      <c r="G99" s="40" t="str">
        <f t="shared" si="3"/>
        <v>082-2025</v>
      </c>
      <c r="H99" s="32" t="s">
        <v>248</v>
      </c>
      <c r="I99" s="33">
        <v>39931046</v>
      </c>
      <c r="J99" s="34">
        <v>45894</v>
      </c>
      <c r="K99" s="34">
        <v>46022</v>
      </c>
      <c r="L99" s="35" t="s">
        <v>17</v>
      </c>
      <c r="M99" s="35" t="s">
        <v>2</v>
      </c>
      <c r="N99" s="42" t="s">
        <v>249</v>
      </c>
      <c r="O99" s="33">
        <v>18034381</v>
      </c>
      <c r="P99" s="33">
        <f t="shared" si="2"/>
        <v>21896665</v>
      </c>
      <c r="Q99" s="36" t="s">
        <v>9</v>
      </c>
      <c r="R99" s="32" t="s">
        <v>373</v>
      </c>
      <c r="S99" s="46" t="s">
        <v>5</v>
      </c>
    </row>
    <row r="100" spans="2:20" ht="256.5">
      <c r="B100" s="20" t="s">
        <v>86</v>
      </c>
      <c r="C100" s="20" t="s">
        <v>86</v>
      </c>
      <c r="D100" s="20" t="s">
        <v>87</v>
      </c>
      <c r="E100" s="8" t="s">
        <v>88</v>
      </c>
      <c r="F100" s="40" t="s">
        <v>89</v>
      </c>
      <c r="G100" s="40" t="str">
        <f t="shared" si="3"/>
        <v>083-2025</v>
      </c>
      <c r="H100" s="32" t="s">
        <v>250</v>
      </c>
      <c r="I100" s="33">
        <v>469063987</v>
      </c>
      <c r="J100" s="34">
        <v>45896</v>
      </c>
      <c r="K100" s="34">
        <v>46022</v>
      </c>
      <c r="L100" s="35" t="s">
        <v>17</v>
      </c>
      <c r="M100" s="35" t="s">
        <v>2</v>
      </c>
      <c r="N100" s="42" t="s">
        <v>251</v>
      </c>
      <c r="O100" s="33">
        <f>5159704.01+98034373</f>
        <v>103194077.01000001</v>
      </c>
      <c r="P100" s="33">
        <f t="shared" si="2"/>
        <v>365869909.99000001</v>
      </c>
      <c r="Q100" s="36" t="s">
        <v>9</v>
      </c>
      <c r="R100" s="32" t="s">
        <v>373</v>
      </c>
      <c r="S100" s="46" t="s">
        <v>5</v>
      </c>
    </row>
    <row r="101" spans="2:20" ht="228">
      <c r="B101" s="20" t="s">
        <v>86</v>
      </c>
      <c r="C101" s="20" t="s">
        <v>86</v>
      </c>
      <c r="D101" s="20" t="s">
        <v>87</v>
      </c>
      <c r="E101" s="8" t="s">
        <v>88</v>
      </c>
      <c r="F101" s="40" t="s">
        <v>89</v>
      </c>
      <c r="G101" s="40" t="str">
        <f t="shared" si="3"/>
        <v>084-2025</v>
      </c>
      <c r="H101" s="32" t="s">
        <v>49</v>
      </c>
      <c r="I101" s="33">
        <v>960773130</v>
      </c>
      <c r="J101" s="34">
        <v>45904</v>
      </c>
      <c r="K101" s="34">
        <v>46022</v>
      </c>
      <c r="L101" s="32" t="s">
        <v>3</v>
      </c>
      <c r="M101" s="35" t="s">
        <v>2</v>
      </c>
      <c r="N101" s="32" t="s">
        <v>252</v>
      </c>
      <c r="O101" s="33">
        <f>367500000+296634644+296638486</f>
        <v>960773130</v>
      </c>
      <c r="P101" s="33">
        <f t="shared" si="2"/>
        <v>0</v>
      </c>
      <c r="Q101" s="36" t="s">
        <v>208</v>
      </c>
      <c r="R101" s="32" t="s">
        <v>370</v>
      </c>
      <c r="S101" s="46" t="s">
        <v>0</v>
      </c>
    </row>
    <row r="102" spans="2:20" ht="213.75">
      <c r="B102" s="20" t="s">
        <v>86</v>
      </c>
      <c r="C102" s="20" t="s">
        <v>86</v>
      </c>
      <c r="D102" s="20" t="s">
        <v>87</v>
      </c>
      <c r="E102" s="8" t="s">
        <v>88</v>
      </c>
      <c r="F102" s="40" t="s">
        <v>89</v>
      </c>
      <c r="G102" s="40" t="str">
        <f t="shared" si="3"/>
        <v>085-2025</v>
      </c>
      <c r="H102" s="32" t="s">
        <v>52</v>
      </c>
      <c r="I102" s="33">
        <v>12000000</v>
      </c>
      <c r="J102" s="34">
        <v>45901</v>
      </c>
      <c r="K102" s="70">
        <v>46022</v>
      </c>
      <c r="L102" s="35" t="s">
        <v>3</v>
      </c>
      <c r="M102" s="35" t="s">
        <v>2</v>
      </c>
      <c r="N102" s="32" t="s">
        <v>51</v>
      </c>
      <c r="O102" s="33">
        <f>3000000*4</f>
        <v>12000000</v>
      </c>
      <c r="P102" s="33">
        <f t="shared" si="2"/>
        <v>0</v>
      </c>
      <c r="Q102" s="36" t="s">
        <v>208</v>
      </c>
      <c r="R102" s="32" t="s">
        <v>371</v>
      </c>
      <c r="S102" s="46" t="s">
        <v>18</v>
      </c>
    </row>
    <row r="103" spans="2:20" ht="213.75">
      <c r="B103" s="20" t="s">
        <v>86</v>
      </c>
      <c r="C103" s="20" t="s">
        <v>86</v>
      </c>
      <c r="D103" s="20" t="s">
        <v>87</v>
      </c>
      <c r="E103" s="8" t="s">
        <v>88</v>
      </c>
      <c r="F103" s="40" t="s">
        <v>89</v>
      </c>
      <c r="G103" s="40" t="str">
        <f t="shared" si="3"/>
        <v>086-2025</v>
      </c>
      <c r="H103" s="32" t="s">
        <v>253</v>
      </c>
      <c r="I103" s="33">
        <v>12000000</v>
      </c>
      <c r="J103" s="34">
        <v>45901</v>
      </c>
      <c r="K103" s="70">
        <v>46022</v>
      </c>
      <c r="L103" s="32" t="s">
        <v>3</v>
      </c>
      <c r="M103" s="35" t="s">
        <v>2</v>
      </c>
      <c r="N103" s="32" t="s">
        <v>254</v>
      </c>
      <c r="O103" s="33">
        <f>3000000*4</f>
        <v>12000000</v>
      </c>
      <c r="P103" s="33">
        <f t="shared" si="2"/>
        <v>0</v>
      </c>
      <c r="Q103" s="36" t="s">
        <v>208</v>
      </c>
      <c r="R103" s="32" t="s">
        <v>372</v>
      </c>
      <c r="S103" s="46" t="s">
        <v>18</v>
      </c>
    </row>
    <row r="104" spans="2:20" ht="185.25">
      <c r="B104" s="20" t="s">
        <v>86</v>
      </c>
      <c r="C104" s="20" t="s">
        <v>86</v>
      </c>
      <c r="D104" s="20" t="s">
        <v>87</v>
      </c>
      <c r="E104" s="8" t="s">
        <v>88</v>
      </c>
      <c r="F104" s="40" t="s">
        <v>89</v>
      </c>
      <c r="G104" s="40" t="str">
        <f t="shared" si="3"/>
        <v>087-2025</v>
      </c>
      <c r="H104" s="32" t="s">
        <v>255</v>
      </c>
      <c r="I104" s="33">
        <v>154599450</v>
      </c>
      <c r="J104" s="34">
        <v>45912</v>
      </c>
      <c r="K104" s="34">
        <v>46022</v>
      </c>
      <c r="L104" s="32" t="s">
        <v>3</v>
      </c>
      <c r="M104" s="35" t="s">
        <v>2</v>
      </c>
      <c r="N104" s="32" t="s">
        <v>256</v>
      </c>
      <c r="O104" s="33">
        <f>(51760197*2)+51079056</f>
        <v>154599450</v>
      </c>
      <c r="P104" s="33">
        <f t="shared" si="2"/>
        <v>0</v>
      </c>
      <c r="Q104" s="36" t="s">
        <v>208</v>
      </c>
      <c r="R104" s="32" t="s">
        <v>370</v>
      </c>
      <c r="S104" s="46" t="s">
        <v>0</v>
      </c>
    </row>
    <row r="105" spans="2:20" ht="256.5">
      <c r="B105" s="20" t="s">
        <v>86</v>
      </c>
      <c r="C105" s="20" t="s">
        <v>86</v>
      </c>
      <c r="D105" s="20" t="s">
        <v>87</v>
      </c>
      <c r="E105" s="8" t="s">
        <v>88</v>
      </c>
      <c r="F105" s="40" t="s">
        <v>89</v>
      </c>
      <c r="G105" s="40" t="str">
        <f t="shared" si="3"/>
        <v>088-2025</v>
      </c>
      <c r="H105" s="32" t="s">
        <v>24</v>
      </c>
      <c r="I105" s="33">
        <v>24916667</v>
      </c>
      <c r="J105" s="34">
        <v>45908</v>
      </c>
      <c r="K105" s="34">
        <v>46022</v>
      </c>
      <c r="L105" s="32" t="s">
        <v>3</v>
      </c>
      <c r="M105" s="35" t="s">
        <v>2</v>
      </c>
      <c r="N105" s="32" t="s">
        <v>257</v>
      </c>
      <c r="O105" s="33">
        <f>4983333+6500000+6500000</f>
        <v>17983333</v>
      </c>
      <c r="P105" s="33">
        <f t="shared" si="2"/>
        <v>6933334</v>
      </c>
      <c r="Q105" s="36" t="s">
        <v>9</v>
      </c>
      <c r="R105" s="32" t="s">
        <v>373</v>
      </c>
      <c r="S105" s="36" t="s">
        <v>5</v>
      </c>
    </row>
    <row r="106" spans="2:20" ht="256.5">
      <c r="B106" s="20" t="s">
        <v>86</v>
      </c>
      <c r="C106" s="20" t="s">
        <v>86</v>
      </c>
      <c r="D106" s="20" t="s">
        <v>87</v>
      </c>
      <c r="E106" s="8" t="s">
        <v>88</v>
      </c>
      <c r="F106" s="40" t="s">
        <v>89</v>
      </c>
      <c r="G106" s="40" t="str">
        <f t="shared" si="3"/>
        <v>089-2025</v>
      </c>
      <c r="H106" s="32" t="s">
        <v>258</v>
      </c>
      <c r="I106" s="33">
        <v>71100624</v>
      </c>
      <c r="J106" s="34">
        <v>45916</v>
      </c>
      <c r="K106" s="34">
        <v>46022</v>
      </c>
      <c r="L106" s="32" t="s">
        <v>14</v>
      </c>
      <c r="M106" s="35" t="s">
        <v>2</v>
      </c>
      <c r="N106" s="32" t="s">
        <v>259</v>
      </c>
      <c r="O106" s="33">
        <v>1420561.64</v>
      </c>
      <c r="P106" s="33">
        <f t="shared" si="2"/>
        <v>69680062.359999999</v>
      </c>
      <c r="Q106" s="36" t="s">
        <v>9</v>
      </c>
      <c r="R106" s="32" t="s">
        <v>373</v>
      </c>
      <c r="S106" s="36" t="s">
        <v>5</v>
      </c>
    </row>
    <row r="107" spans="2:20" s="30" customFormat="1" ht="185.25">
      <c r="B107" s="20" t="s">
        <v>86</v>
      </c>
      <c r="C107" s="20" t="s">
        <v>86</v>
      </c>
      <c r="D107" s="20" t="s">
        <v>87</v>
      </c>
      <c r="E107" s="8" t="s">
        <v>88</v>
      </c>
      <c r="F107" s="40" t="s">
        <v>89</v>
      </c>
      <c r="G107" s="40" t="str">
        <f t="shared" si="3"/>
        <v>090-2025</v>
      </c>
      <c r="H107" s="32" t="s">
        <v>260</v>
      </c>
      <c r="I107" s="33">
        <v>9000000</v>
      </c>
      <c r="J107" s="34">
        <v>45931</v>
      </c>
      <c r="K107" s="70">
        <v>46022</v>
      </c>
      <c r="L107" s="32" t="s">
        <v>3</v>
      </c>
      <c r="M107" s="35" t="s">
        <v>2</v>
      </c>
      <c r="N107" s="32" t="s">
        <v>261</v>
      </c>
      <c r="O107" s="33">
        <f>3000000*3</f>
        <v>9000000</v>
      </c>
      <c r="P107" s="33">
        <f t="shared" si="2"/>
        <v>0</v>
      </c>
      <c r="Q107" s="36" t="s">
        <v>208</v>
      </c>
      <c r="R107" s="32" t="s">
        <v>370</v>
      </c>
      <c r="S107" s="36" t="s">
        <v>18</v>
      </c>
    </row>
    <row r="108" spans="2:20" ht="185.25">
      <c r="B108" s="20" t="s">
        <v>86</v>
      </c>
      <c r="C108" s="20" t="s">
        <v>86</v>
      </c>
      <c r="D108" s="20" t="s">
        <v>87</v>
      </c>
      <c r="E108" s="8" t="s">
        <v>88</v>
      </c>
      <c r="F108" s="40" t="s">
        <v>89</v>
      </c>
      <c r="G108" s="40" t="str">
        <f t="shared" si="3"/>
        <v>091-2025</v>
      </c>
      <c r="H108" s="32" t="s">
        <v>262</v>
      </c>
      <c r="I108" s="33">
        <v>10200000</v>
      </c>
      <c r="J108" s="34">
        <v>45931</v>
      </c>
      <c r="K108" s="70">
        <v>46022</v>
      </c>
      <c r="L108" s="32" t="s">
        <v>3</v>
      </c>
      <c r="M108" s="35" t="s">
        <v>2</v>
      </c>
      <c r="N108" s="32" t="s">
        <v>204</v>
      </c>
      <c r="O108" s="33">
        <f>3400000*3</f>
        <v>10200000</v>
      </c>
      <c r="P108" s="33">
        <f t="shared" si="2"/>
        <v>0</v>
      </c>
      <c r="Q108" s="36" t="s">
        <v>208</v>
      </c>
      <c r="R108" s="32" t="s">
        <v>370</v>
      </c>
      <c r="S108" s="36" t="s">
        <v>18</v>
      </c>
    </row>
    <row r="109" spans="2:20" ht="185.25">
      <c r="B109" s="20" t="s">
        <v>86</v>
      </c>
      <c r="C109" s="20" t="s">
        <v>86</v>
      </c>
      <c r="D109" s="20" t="s">
        <v>87</v>
      </c>
      <c r="E109" s="8" t="s">
        <v>88</v>
      </c>
      <c r="F109" s="40" t="s">
        <v>89</v>
      </c>
      <c r="G109" s="40" t="str">
        <f t="shared" si="3"/>
        <v>092-2025</v>
      </c>
      <c r="H109" s="32" t="s">
        <v>263</v>
      </c>
      <c r="I109" s="33">
        <v>13999999</v>
      </c>
      <c r="J109" s="34">
        <v>45936</v>
      </c>
      <c r="K109" s="70">
        <v>46022</v>
      </c>
      <c r="L109" s="32" t="s">
        <v>3</v>
      </c>
      <c r="M109" s="35" t="s">
        <v>2</v>
      </c>
      <c r="N109" s="32" t="s">
        <v>264</v>
      </c>
      <c r="O109" s="33">
        <f>3999999+5000000+5000000</f>
        <v>13999999</v>
      </c>
      <c r="P109" s="33">
        <f t="shared" si="2"/>
        <v>0</v>
      </c>
      <c r="Q109" s="36" t="s">
        <v>208</v>
      </c>
      <c r="R109" s="32" t="s">
        <v>370</v>
      </c>
      <c r="S109" s="36" t="s">
        <v>18</v>
      </c>
    </row>
    <row r="110" spans="2:20" ht="185.25">
      <c r="B110" s="20" t="s">
        <v>86</v>
      </c>
      <c r="C110" s="20" t="s">
        <v>86</v>
      </c>
      <c r="D110" s="20" t="s">
        <v>87</v>
      </c>
      <c r="E110" s="8" t="s">
        <v>88</v>
      </c>
      <c r="F110" s="40" t="s">
        <v>89</v>
      </c>
      <c r="G110" s="40" t="str">
        <f t="shared" si="3"/>
        <v>093-2025</v>
      </c>
      <c r="H110" s="32" t="s">
        <v>265</v>
      </c>
      <c r="I110" s="33">
        <v>446925088</v>
      </c>
      <c r="J110" s="34">
        <v>45945</v>
      </c>
      <c r="K110" s="34">
        <v>45960</v>
      </c>
      <c r="L110" s="32" t="s">
        <v>266</v>
      </c>
      <c r="M110" s="35" t="s">
        <v>2</v>
      </c>
      <c r="N110" s="32" t="s">
        <v>267</v>
      </c>
      <c r="O110" s="33">
        <f>76736360+238488671+131700056</f>
        <v>446925087</v>
      </c>
      <c r="P110" s="33">
        <f t="shared" si="2"/>
        <v>1</v>
      </c>
      <c r="Q110" s="36" t="s">
        <v>208</v>
      </c>
      <c r="R110" s="32" t="s">
        <v>370</v>
      </c>
      <c r="S110" s="36" t="s">
        <v>268</v>
      </c>
    </row>
    <row r="111" spans="2:20" ht="256.5">
      <c r="B111" s="20" t="s">
        <v>86</v>
      </c>
      <c r="C111" s="20" t="s">
        <v>86</v>
      </c>
      <c r="D111" s="20" t="s">
        <v>87</v>
      </c>
      <c r="E111" s="8" t="s">
        <v>88</v>
      </c>
      <c r="F111" s="40" t="s">
        <v>89</v>
      </c>
      <c r="G111" s="40" t="str">
        <f t="shared" si="3"/>
        <v>094-2025</v>
      </c>
      <c r="H111" s="32" t="s">
        <v>269</v>
      </c>
      <c r="I111" s="33">
        <v>390040000</v>
      </c>
      <c r="J111" s="34">
        <v>45950</v>
      </c>
      <c r="K111" s="34">
        <v>46022</v>
      </c>
      <c r="L111" s="32" t="s">
        <v>14</v>
      </c>
      <c r="M111" s="35" t="s">
        <v>2</v>
      </c>
      <c r="N111" s="32" t="s">
        <v>270</v>
      </c>
      <c r="O111" s="33"/>
      <c r="P111" s="33">
        <f t="shared" si="2"/>
        <v>390040000</v>
      </c>
      <c r="Q111" s="36" t="s">
        <v>9</v>
      </c>
      <c r="R111" s="32" t="s">
        <v>373</v>
      </c>
      <c r="S111" s="36" t="s">
        <v>5</v>
      </c>
      <c r="T111" s="1" t="s">
        <v>302</v>
      </c>
    </row>
    <row r="112" spans="2:20" ht="256.5">
      <c r="B112" s="20" t="s">
        <v>86</v>
      </c>
      <c r="C112" s="20" t="s">
        <v>86</v>
      </c>
      <c r="D112" s="20" t="s">
        <v>87</v>
      </c>
      <c r="E112" s="8" t="s">
        <v>88</v>
      </c>
      <c r="F112" s="40" t="s">
        <v>89</v>
      </c>
      <c r="G112" s="40" t="str">
        <f t="shared" si="3"/>
        <v>095-2025</v>
      </c>
      <c r="H112" s="32" t="s">
        <v>271</v>
      </c>
      <c r="I112" s="33">
        <v>102900000</v>
      </c>
      <c r="J112" s="34">
        <v>45951</v>
      </c>
      <c r="K112" s="34">
        <v>46022</v>
      </c>
      <c r="L112" s="32" t="s">
        <v>14</v>
      </c>
      <c r="M112" s="35" t="s">
        <v>2</v>
      </c>
      <c r="N112" s="32" t="s">
        <v>272</v>
      </c>
      <c r="O112" s="33">
        <f>92610000+10289452</f>
        <v>102899452</v>
      </c>
      <c r="P112" s="33">
        <f t="shared" si="2"/>
        <v>548</v>
      </c>
      <c r="Q112" s="36" t="s">
        <v>9</v>
      </c>
      <c r="R112" s="32" t="s">
        <v>373</v>
      </c>
      <c r="S112" s="36" t="s">
        <v>5</v>
      </c>
      <c r="T112" s="30"/>
    </row>
    <row r="113" spans="2:20" s="30" customFormat="1" ht="256.5">
      <c r="B113" s="52" t="s">
        <v>86</v>
      </c>
      <c r="C113" s="52" t="s">
        <v>86</v>
      </c>
      <c r="D113" s="52" t="s">
        <v>87</v>
      </c>
      <c r="E113" s="53" t="s">
        <v>88</v>
      </c>
      <c r="F113" s="54" t="s">
        <v>89</v>
      </c>
      <c r="G113" s="54" t="str">
        <f t="shared" si="3"/>
        <v>096-2025</v>
      </c>
      <c r="H113" s="60" t="s">
        <v>303</v>
      </c>
      <c r="I113" s="61">
        <v>20000000</v>
      </c>
      <c r="J113" s="62">
        <v>46027</v>
      </c>
      <c r="K113" s="71">
        <v>46387</v>
      </c>
      <c r="L113" s="60" t="s">
        <v>304</v>
      </c>
      <c r="M113" s="63" t="s">
        <v>2</v>
      </c>
      <c r="N113" s="60" t="s">
        <v>305</v>
      </c>
      <c r="O113" s="64"/>
      <c r="P113" s="61">
        <f t="shared" si="2"/>
        <v>20000000</v>
      </c>
      <c r="Q113" s="65" t="s">
        <v>9</v>
      </c>
      <c r="R113" s="60" t="s">
        <v>373</v>
      </c>
      <c r="S113" s="65" t="s">
        <v>18</v>
      </c>
      <c r="T113" s="30" t="s">
        <v>347</v>
      </c>
    </row>
    <row r="114" spans="2:20" ht="256.5">
      <c r="B114" s="20" t="s">
        <v>86</v>
      </c>
      <c r="C114" s="20" t="s">
        <v>86</v>
      </c>
      <c r="D114" s="20" t="s">
        <v>87</v>
      </c>
      <c r="E114" s="8" t="s">
        <v>88</v>
      </c>
      <c r="F114" s="40" t="s">
        <v>89</v>
      </c>
      <c r="G114" s="40" t="str">
        <f t="shared" si="3"/>
        <v>097-2025</v>
      </c>
      <c r="H114" s="32" t="s">
        <v>306</v>
      </c>
      <c r="I114" s="33">
        <v>6408000</v>
      </c>
      <c r="J114" s="34">
        <v>45955</v>
      </c>
      <c r="K114" s="72" t="s">
        <v>343</v>
      </c>
      <c r="L114" s="32" t="s">
        <v>3</v>
      </c>
      <c r="M114" s="35" t="s">
        <v>2</v>
      </c>
      <c r="N114" s="32" t="s">
        <v>307</v>
      </c>
      <c r="O114" s="33">
        <v>6408000</v>
      </c>
      <c r="P114" s="33">
        <f t="shared" si="2"/>
        <v>0</v>
      </c>
      <c r="Q114" s="36" t="s">
        <v>208</v>
      </c>
      <c r="R114" s="32" t="s">
        <v>373</v>
      </c>
      <c r="S114" s="36" t="s">
        <v>18</v>
      </c>
    </row>
    <row r="115" spans="2:20" ht="256.5">
      <c r="B115" s="20" t="s">
        <v>86</v>
      </c>
      <c r="C115" s="20" t="s">
        <v>86</v>
      </c>
      <c r="D115" s="20" t="s">
        <v>87</v>
      </c>
      <c r="E115" s="8" t="s">
        <v>88</v>
      </c>
      <c r="F115" s="40" t="s">
        <v>89</v>
      </c>
      <c r="G115" s="40" t="str">
        <f t="shared" si="3"/>
        <v>098-2025</v>
      </c>
      <c r="H115" s="32" t="s">
        <v>308</v>
      </c>
      <c r="I115" s="33">
        <v>5736489535.8999996</v>
      </c>
      <c r="J115" s="34">
        <v>45994</v>
      </c>
      <c r="K115" s="34">
        <v>46196</v>
      </c>
      <c r="L115" s="35" t="s">
        <v>310</v>
      </c>
      <c r="M115" s="35" t="s">
        <v>2</v>
      </c>
      <c r="N115" s="32" t="s">
        <v>309</v>
      </c>
      <c r="O115" s="33"/>
      <c r="P115" s="33">
        <f t="shared" si="2"/>
        <v>5736489535.8999996</v>
      </c>
      <c r="Q115" s="36"/>
      <c r="R115" s="32" t="s">
        <v>373</v>
      </c>
      <c r="S115" s="36" t="s">
        <v>5</v>
      </c>
      <c r="T115" s="1" t="s">
        <v>302</v>
      </c>
    </row>
    <row r="116" spans="2:20" ht="256.5">
      <c r="B116" s="20" t="s">
        <v>86</v>
      </c>
      <c r="C116" s="20" t="s">
        <v>86</v>
      </c>
      <c r="D116" s="20" t="s">
        <v>87</v>
      </c>
      <c r="E116" s="8" t="s">
        <v>88</v>
      </c>
      <c r="F116" s="40" t="s">
        <v>89</v>
      </c>
      <c r="G116" s="40" t="str">
        <f t="shared" si="3"/>
        <v>099-2025</v>
      </c>
      <c r="H116" s="32" t="s">
        <v>311</v>
      </c>
      <c r="I116" s="33">
        <v>430264577</v>
      </c>
      <c r="J116" s="34">
        <v>45994</v>
      </c>
      <c r="K116" s="34">
        <v>46196</v>
      </c>
      <c r="L116" s="35" t="s">
        <v>17</v>
      </c>
      <c r="M116" s="35" t="s">
        <v>2</v>
      </c>
      <c r="N116" s="32" t="s">
        <v>312</v>
      </c>
      <c r="O116" s="33"/>
      <c r="P116" s="33">
        <f t="shared" si="2"/>
        <v>430264577</v>
      </c>
      <c r="Q116" s="36"/>
      <c r="R116" s="32" t="s">
        <v>373</v>
      </c>
      <c r="S116" s="36" t="s">
        <v>5</v>
      </c>
      <c r="T116" s="1" t="s">
        <v>302</v>
      </c>
    </row>
    <row r="117" spans="2:20" ht="256.5">
      <c r="B117" s="20" t="s">
        <v>86</v>
      </c>
      <c r="C117" s="20" t="s">
        <v>86</v>
      </c>
      <c r="D117" s="20" t="s">
        <v>87</v>
      </c>
      <c r="E117" s="8" t="s">
        <v>88</v>
      </c>
      <c r="F117" s="40" t="s">
        <v>89</v>
      </c>
      <c r="G117" s="40" t="str">
        <f t="shared" si="3"/>
        <v>100-2025</v>
      </c>
      <c r="H117" s="32" t="s">
        <v>313</v>
      </c>
      <c r="I117" s="33">
        <v>1601795416</v>
      </c>
      <c r="J117" s="34">
        <v>46002</v>
      </c>
      <c r="K117" s="51" t="s">
        <v>344</v>
      </c>
      <c r="L117" s="35" t="s">
        <v>310</v>
      </c>
      <c r="M117" s="35" t="s">
        <v>2</v>
      </c>
      <c r="N117" s="32" t="s">
        <v>314</v>
      </c>
      <c r="O117" s="33"/>
      <c r="P117" s="33">
        <f t="shared" si="2"/>
        <v>1601795416</v>
      </c>
      <c r="Q117" s="36" t="s">
        <v>9</v>
      </c>
      <c r="R117" s="32" t="s">
        <v>373</v>
      </c>
      <c r="S117" s="36" t="s">
        <v>5</v>
      </c>
      <c r="T117" s="1" t="s">
        <v>302</v>
      </c>
    </row>
    <row r="118" spans="2:20" ht="256.5">
      <c r="B118" s="20" t="s">
        <v>86</v>
      </c>
      <c r="C118" s="20" t="s">
        <v>86</v>
      </c>
      <c r="D118" s="20" t="s">
        <v>87</v>
      </c>
      <c r="E118" s="8" t="s">
        <v>88</v>
      </c>
      <c r="F118" s="40" t="s">
        <v>89</v>
      </c>
      <c r="G118" s="40" t="str">
        <f t="shared" si="3"/>
        <v>101-2025</v>
      </c>
      <c r="H118" s="32" t="s">
        <v>315</v>
      </c>
      <c r="I118" s="33">
        <v>43884520</v>
      </c>
      <c r="J118" s="34">
        <v>45995</v>
      </c>
      <c r="K118" s="70">
        <v>46022</v>
      </c>
      <c r="L118" s="35" t="s">
        <v>317</v>
      </c>
      <c r="M118" s="35" t="s">
        <v>2</v>
      </c>
      <c r="N118" s="32" t="s">
        <v>316</v>
      </c>
      <c r="O118" s="33">
        <v>43884520</v>
      </c>
      <c r="P118" s="33">
        <f t="shared" si="2"/>
        <v>0</v>
      </c>
      <c r="Q118" s="36" t="s">
        <v>208</v>
      </c>
      <c r="R118" s="32" t="s">
        <v>373</v>
      </c>
      <c r="S118" s="36" t="s">
        <v>18</v>
      </c>
      <c r="T118" s="1" t="s">
        <v>302</v>
      </c>
    </row>
    <row r="119" spans="2:20" ht="256.5">
      <c r="B119" s="20" t="s">
        <v>86</v>
      </c>
      <c r="C119" s="20" t="s">
        <v>86</v>
      </c>
      <c r="D119" s="20" t="s">
        <v>87</v>
      </c>
      <c r="E119" s="8" t="s">
        <v>88</v>
      </c>
      <c r="F119" s="40" t="s">
        <v>89</v>
      </c>
      <c r="G119" s="40" t="str">
        <f t="shared" si="3"/>
        <v>102-2025</v>
      </c>
      <c r="H119" s="32" t="s">
        <v>318</v>
      </c>
      <c r="I119" s="33">
        <v>196000000</v>
      </c>
      <c r="J119" s="34">
        <v>45994</v>
      </c>
      <c r="K119" s="34">
        <v>46022</v>
      </c>
      <c r="L119" s="35" t="s">
        <v>310</v>
      </c>
      <c r="M119" s="35" t="s">
        <v>2</v>
      </c>
      <c r="N119" s="32" t="s">
        <v>272</v>
      </c>
      <c r="O119" s="33"/>
      <c r="P119" s="33">
        <f t="shared" si="2"/>
        <v>196000000</v>
      </c>
      <c r="Q119" s="36" t="s">
        <v>9</v>
      </c>
      <c r="R119" s="32" t="s">
        <v>373</v>
      </c>
      <c r="S119" s="36" t="s">
        <v>5</v>
      </c>
      <c r="T119" s="1" t="s">
        <v>302</v>
      </c>
    </row>
    <row r="120" spans="2:20" ht="256.5">
      <c r="B120" s="20" t="s">
        <v>86</v>
      </c>
      <c r="C120" s="20" t="s">
        <v>86</v>
      </c>
      <c r="D120" s="20" t="s">
        <v>87</v>
      </c>
      <c r="E120" s="8" t="s">
        <v>88</v>
      </c>
      <c r="F120" s="40" t="s">
        <v>89</v>
      </c>
      <c r="G120" s="40" t="str">
        <f t="shared" si="3"/>
        <v>103-2025</v>
      </c>
      <c r="H120" s="32" t="s">
        <v>319</v>
      </c>
      <c r="I120" s="33">
        <v>66782636</v>
      </c>
      <c r="J120" s="34">
        <v>45994</v>
      </c>
      <c r="K120" s="34">
        <v>46022</v>
      </c>
      <c r="L120" s="35" t="s">
        <v>310</v>
      </c>
      <c r="M120" s="35" t="s">
        <v>2</v>
      </c>
      <c r="N120" s="32" t="s">
        <v>320</v>
      </c>
      <c r="O120" s="33"/>
      <c r="P120" s="33">
        <f t="shared" si="2"/>
        <v>66782636</v>
      </c>
      <c r="Q120" s="36" t="s">
        <v>9</v>
      </c>
      <c r="R120" s="32" t="s">
        <v>373</v>
      </c>
      <c r="S120" s="36" t="s">
        <v>5</v>
      </c>
      <c r="T120" s="1" t="s">
        <v>302</v>
      </c>
    </row>
    <row r="121" spans="2:20" ht="256.5">
      <c r="B121" s="20" t="s">
        <v>86</v>
      </c>
      <c r="C121" s="20" t="s">
        <v>86</v>
      </c>
      <c r="D121" s="20" t="s">
        <v>87</v>
      </c>
      <c r="E121" s="8" t="s">
        <v>88</v>
      </c>
      <c r="F121" s="40" t="s">
        <v>89</v>
      </c>
      <c r="G121" s="40" t="str">
        <f t="shared" si="3"/>
        <v>104-2025</v>
      </c>
      <c r="H121" s="32" t="s">
        <v>321</v>
      </c>
      <c r="I121" s="33">
        <v>26997565</v>
      </c>
      <c r="J121" s="34">
        <v>46006</v>
      </c>
      <c r="K121" s="34">
        <v>46022</v>
      </c>
      <c r="L121" s="35" t="s">
        <v>310</v>
      </c>
      <c r="M121" s="35" t="s">
        <v>2</v>
      </c>
      <c r="N121" s="32" t="s">
        <v>322</v>
      </c>
      <c r="O121" s="33"/>
      <c r="P121" s="33">
        <f t="shared" si="2"/>
        <v>26997565</v>
      </c>
      <c r="Q121" s="36" t="s">
        <v>9</v>
      </c>
      <c r="R121" s="32" t="s">
        <v>373</v>
      </c>
      <c r="S121" s="36" t="s">
        <v>5</v>
      </c>
      <c r="T121" s="1" t="s">
        <v>302</v>
      </c>
    </row>
    <row r="122" spans="2:20" ht="256.5">
      <c r="B122" s="20" t="s">
        <v>86</v>
      </c>
      <c r="C122" s="20" t="s">
        <v>86</v>
      </c>
      <c r="D122" s="20" t="s">
        <v>87</v>
      </c>
      <c r="E122" s="8" t="s">
        <v>88</v>
      </c>
      <c r="F122" s="40" t="s">
        <v>89</v>
      </c>
      <c r="G122" s="40" t="str">
        <f t="shared" si="3"/>
        <v>105-2025</v>
      </c>
      <c r="H122" s="32" t="s">
        <v>323</v>
      </c>
      <c r="I122" s="33">
        <v>26997565</v>
      </c>
      <c r="J122" s="34">
        <v>46003</v>
      </c>
      <c r="K122" s="35" t="s">
        <v>324</v>
      </c>
      <c r="L122" s="35" t="s">
        <v>326</v>
      </c>
      <c r="M122" s="35" t="s">
        <v>2</v>
      </c>
      <c r="N122" s="32" t="s">
        <v>325</v>
      </c>
      <c r="O122" s="33"/>
      <c r="P122" s="33">
        <f t="shared" si="2"/>
        <v>26997565</v>
      </c>
      <c r="Q122" s="36" t="s">
        <v>9</v>
      </c>
      <c r="R122" s="32" t="s">
        <v>373</v>
      </c>
      <c r="S122" s="36" t="s">
        <v>5</v>
      </c>
      <c r="T122" s="1" t="s">
        <v>302</v>
      </c>
    </row>
    <row r="123" spans="2:20" ht="256.5">
      <c r="B123" s="20" t="s">
        <v>86</v>
      </c>
      <c r="C123" s="20" t="s">
        <v>86</v>
      </c>
      <c r="D123" s="20" t="s">
        <v>87</v>
      </c>
      <c r="E123" s="8" t="s">
        <v>88</v>
      </c>
      <c r="F123" s="40" t="s">
        <v>89</v>
      </c>
      <c r="G123" s="40" t="str">
        <f t="shared" si="3"/>
        <v>106-2025</v>
      </c>
      <c r="H123" s="32" t="s">
        <v>327</v>
      </c>
      <c r="I123" s="33">
        <v>6822516685.6999998</v>
      </c>
      <c r="J123" s="34">
        <v>46000</v>
      </c>
      <c r="K123" s="34">
        <v>46151</v>
      </c>
      <c r="L123" s="32" t="s">
        <v>317</v>
      </c>
      <c r="M123" s="35" t="s">
        <v>2</v>
      </c>
      <c r="N123" s="32" t="s">
        <v>328</v>
      </c>
      <c r="O123" s="33"/>
      <c r="P123" s="33">
        <f t="shared" si="2"/>
        <v>6822516685.6999998</v>
      </c>
      <c r="Q123" s="36" t="s">
        <v>9</v>
      </c>
      <c r="R123" s="32" t="s">
        <v>373</v>
      </c>
      <c r="S123" s="36" t="s">
        <v>5</v>
      </c>
      <c r="T123" s="1" t="s">
        <v>302</v>
      </c>
    </row>
    <row r="124" spans="2:20" ht="256.5">
      <c r="B124" s="20" t="s">
        <v>86</v>
      </c>
      <c r="C124" s="20" t="s">
        <v>86</v>
      </c>
      <c r="D124" s="20" t="s">
        <v>87</v>
      </c>
      <c r="E124" s="8" t="s">
        <v>88</v>
      </c>
      <c r="F124" s="40" t="s">
        <v>89</v>
      </c>
      <c r="G124" s="40" t="str">
        <f t="shared" si="3"/>
        <v>107-2025</v>
      </c>
      <c r="H124" s="32" t="s">
        <v>329</v>
      </c>
      <c r="I124" s="33">
        <v>114194260</v>
      </c>
      <c r="J124" s="34">
        <v>46002</v>
      </c>
      <c r="K124" s="34">
        <v>46153</v>
      </c>
      <c r="L124" s="32" t="s">
        <v>331</v>
      </c>
      <c r="M124" s="32" t="s">
        <v>2</v>
      </c>
      <c r="N124" s="32" t="s">
        <v>330</v>
      </c>
      <c r="O124" s="33"/>
      <c r="P124" s="33">
        <f t="shared" si="2"/>
        <v>114194260</v>
      </c>
      <c r="Q124" s="36" t="s">
        <v>9</v>
      </c>
      <c r="R124" s="32" t="s">
        <v>373</v>
      </c>
      <c r="S124" s="36" t="s">
        <v>5</v>
      </c>
      <c r="T124" s="1" t="s">
        <v>302</v>
      </c>
    </row>
    <row r="125" spans="2:20" ht="256.5">
      <c r="B125" s="20" t="s">
        <v>86</v>
      </c>
      <c r="C125" s="20" t="s">
        <v>86</v>
      </c>
      <c r="D125" s="20" t="s">
        <v>87</v>
      </c>
      <c r="E125" s="8" t="s">
        <v>88</v>
      </c>
      <c r="F125" s="40" t="s">
        <v>89</v>
      </c>
      <c r="G125" s="40" t="str">
        <f t="shared" si="3"/>
        <v>108-2025</v>
      </c>
      <c r="H125" s="32" t="s">
        <v>332</v>
      </c>
      <c r="I125" s="33">
        <v>346428000</v>
      </c>
      <c r="J125" s="35"/>
      <c r="K125" s="34">
        <v>46022</v>
      </c>
      <c r="L125" s="32" t="s">
        <v>333</v>
      </c>
      <c r="M125" s="35" t="s">
        <v>2</v>
      </c>
      <c r="N125" s="32" t="s">
        <v>334</v>
      </c>
      <c r="O125" s="33"/>
      <c r="P125" s="33">
        <f t="shared" si="2"/>
        <v>346428000</v>
      </c>
      <c r="Q125" s="36" t="s">
        <v>9</v>
      </c>
      <c r="R125" s="32" t="s">
        <v>373</v>
      </c>
      <c r="S125" s="36" t="s">
        <v>0</v>
      </c>
      <c r="T125" s="1" t="s">
        <v>302</v>
      </c>
    </row>
    <row r="126" spans="2:20" ht="256.5">
      <c r="B126" s="20" t="s">
        <v>86</v>
      </c>
      <c r="C126" s="20" t="s">
        <v>86</v>
      </c>
      <c r="D126" s="20" t="s">
        <v>87</v>
      </c>
      <c r="E126" s="8" t="s">
        <v>88</v>
      </c>
      <c r="F126" s="40" t="s">
        <v>89</v>
      </c>
      <c r="G126" s="40" t="str">
        <f t="shared" si="3"/>
        <v>109-2025</v>
      </c>
      <c r="H126" s="32" t="s">
        <v>341</v>
      </c>
      <c r="I126" s="33">
        <v>4111363268</v>
      </c>
      <c r="J126" s="35"/>
      <c r="K126" s="34">
        <v>46133</v>
      </c>
      <c r="L126" s="35" t="s">
        <v>14</v>
      </c>
      <c r="M126" s="35" t="s">
        <v>336</v>
      </c>
      <c r="N126" s="32" t="s">
        <v>342</v>
      </c>
      <c r="O126" s="33"/>
      <c r="P126" s="33">
        <f t="shared" si="2"/>
        <v>4111363268</v>
      </c>
      <c r="Q126" s="36" t="s">
        <v>9</v>
      </c>
      <c r="R126" s="32" t="s">
        <v>373</v>
      </c>
      <c r="S126" s="36" t="s">
        <v>5</v>
      </c>
      <c r="T126" s="1" t="s">
        <v>302</v>
      </c>
    </row>
    <row r="127" spans="2:20" ht="256.5">
      <c r="B127" s="20" t="s">
        <v>86</v>
      </c>
      <c r="C127" s="20" t="s">
        <v>86</v>
      </c>
      <c r="D127" s="20" t="s">
        <v>87</v>
      </c>
      <c r="E127" s="8" t="s">
        <v>88</v>
      </c>
      <c r="F127" s="40" t="s">
        <v>89</v>
      </c>
      <c r="G127" s="40" t="str">
        <f t="shared" si="3"/>
        <v>110-2025</v>
      </c>
      <c r="H127" s="32" t="s">
        <v>335</v>
      </c>
      <c r="I127" s="33">
        <v>724255520</v>
      </c>
      <c r="J127" s="34">
        <v>46044</v>
      </c>
      <c r="K127" s="34">
        <v>46152</v>
      </c>
      <c r="L127" s="35" t="s">
        <v>326</v>
      </c>
      <c r="M127" s="35" t="s">
        <v>336</v>
      </c>
      <c r="N127" s="32" t="s">
        <v>337</v>
      </c>
      <c r="O127" s="33"/>
      <c r="P127" s="33">
        <f t="shared" si="2"/>
        <v>724255520</v>
      </c>
      <c r="Q127" s="36" t="s">
        <v>9</v>
      </c>
      <c r="R127" s="32" t="s">
        <v>373</v>
      </c>
      <c r="S127" s="36" t="s">
        <v>5</v>
      </c>
      <c r="T127" s="1" t="s">
        <v>302</v>
      </c>
    </row>
    <row r="128" spans="2:20" ht="256.5">
      <c r="B128" s="20" t="s">
        <v>86</v>
      </c>
      <c r="C128" s="20" t="s">
        <v>86</v>
      </c>
      <c r="D128" s="20" t="s">
        <v>87</v>
      </c>
      <c r="E128" s="8" t="s">
        <v>88</v>
      </c>
      <c r="F128" s="40" t="s">
        <v>89</v>
      </c>
      <c r="G128" s="40" t="str">
        <f t="shared" si="3"/>
        <v>111-2025</v>
      </c>
      <c r="H128" s="32" t="s">
        <v>338</v>
      </c>
      <c r="I128" s="33">
        <v>107199761</v>
      </c>
      <c r="J128" s="34">
        <v>46044</v>
      </c>
      <c r="K128" s="34">
        <v>46152</v>
      </c>
      <c r="L128" s="32" t="s">
        <v>340</v>
      </c>
      <c r="M128" s="35" t="s">
        <v>336</v>
      </c>
      <c r="N128" s="32" t="s">
        <v>339</v>
      </c>
      <c r="O128" s="33"/>
      <c r="P128" s="33">
        <f t="shared" si="2"/>
        <v>107199761</v>
      </c>
      <c r="Q128" s="36" t="s">
        <v>9</v>
      </c>
      <c r="R128" s="32" t="s">
        <v>373</v>
      </c>
      <c r="S128" s="36" t="s">
        <v>5</v>
      </c>
      <c r="T128" s="1" t="s">
        <v>302</v>
      </c>
    </row>
    <row r="129" spans="7:18" ht="14.25">
      <c r="G129" s="50"/>
      <c r="I129" s="3">
        <f>SUM(I18:I128)</f>
        <v>79962394142.070007</v>
      </c>
      <c r="K129" s="1"/>
      <c r="P129" s="55"/>
      <c r="R129" s="32"/>
    </row>
    <row r="130" spans="7:18">
      <c r="G130" s="50"/>
      <c r="P130" s="55"/>
    </row>
    <row r="131" spans="7:18">
      <c r="G131" s="50"/>
      <c r="I131" s="73"/>
    </row>
    <row r="132" spans="7:18">
      <c r="G132" s="50"/>
      <c r="I132" s="73"/>
    </row>
    <row r="133" spans="7:18">
      <c r="G133" s="50"/>
    </row>
    <row r="134" spans="7:18">
      <c r="G134" s="50"/>
    </row>
    <row r="135" spans="7:18">
      <c r="G135" s="50"/>
    </row>
    <row r="136" spans="7:18">
      <c r="G136" s="50"/>
    </row>
    <row r="137" spans="7:18">
      <c r="G137" s="50"/>
    </row>
    <row r="138" spans="7:18">
      <c r="G138" s="50"/>
    </row>
    <row r="139" spans="7:18">
      <c r="G139" s="50"/>
    </row>
    <row r="140" spans="7:18">
      <c r="G140" s="50"/>
    </row>
    <row r="141" spans="7:18">
      <c r="G141" s="50"/>
    </row>
    <row r="142" spans="7:18">
      <c r="G142" s="50"/>
    </row>
    <row r="143" spans="7:18">
      <c r="G143" s="50"/>
    </row>
    <row r="144" spans="7:18">
      <c r="G144" s="50"/>
    </row>
    <row r="145" spans="7:7">
      <c r="G145" s="50"/>
    </row>
    <row r="146" spans="7:7">
      <c r="G146" s="50"/>
    </row>
    <row r="147" spans="7:7">
      <c r="G147" s="50"/>
    </row>
    <row r="148" spans="7:7">
      <c r="G148" s="50"/>
    </row>
    <row r="149" spans="7:7">
      <c r="G149" s="50"/>
    </row>
    <row r="150" spans="7:7">
      <c r="G150" s="50"/>
    </row>
    <row r="151" spans="7:7">
      <c r="G151" s="50"/>
    </row>
    <row r="152" spans="7:7">
      <c r="G152" s="50"/>
    </row>
    <row r="153" spans="7:7">
      <c r="G153" s="50"/>
    </row>
    <row r="154" spans="7:7">
      <c r="G154" s="49"/>
    </row>
    <row r="155" spans="7:7">
      <c r="G155" s="49"/>
    </row>
    <row r="156" spans="7:7">
      <c r="G156" s="49"/>
    </row>
  </sheetData>
  <autoFilter ref="A17:T129"/>
  <mergeCells count="26">
    <mergeCell ref="N15:N16"/>
    <mergeCell ref="O15:O16"/>
    <mergeCell ref="P15:P16"/>
    <mergeCell ref="Q15:Q16"/>
    <mergeCell ref="R15:R16"/>
    <mergeCell ref="S15:S16"/>
    <mergeCell ref="G15:G16"/>
    <mergeCell ref="H15:H16"/>
    <mergeCell ref="I15:I16"/>
    <mergeCell ref="J15:K15"/>
    <mergeCell ref="L15:L16"/>
    <mergeCell ref="M15:M16"/>
    <mergeCell ref="C12:F12"/>
    <mergeCell ref="C13:F13"/>
    <mergeCell ref="B15:B16"/>
    <mergeCell ref="C15:C16"/>
    <mergeCell ref="D15:D16"/>
    <mergeCell ref="E15:E16"/>
    <mergeCell ref="F15:F16"/>
    <mergeCell ref="G8:J8"/>
    <mergeCell ref="C9:F9"/>
    <mergeCell ref="G9:J9"/>
    <mergeCell ref="C10:F10"/>
    <mergeCell ref="G10:J10"/>
    <mergeCell ref="C11:F11"/>
    <mergeCell ref="G11:J11"/>
  </mergeCells>
  <hyperlinks>
    <hyperlink ref="C13" r:id="rId1"/>
  </hyperlinks>
  <pageMargins left="0.23622047244094491" right="0.23622047244094491" top="0.74803149606299213" bottom="0.74803149606299213" header="0.31496062992125984" footer="0.31496062992125984"/>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6:T156"/>
  <sheetViews>
    <sheetView tabSelected="1" zoomScale="55" zoomScaleNormal="55" workbookViewId="0">
      <pane ySplit="17" topLeftCell="A18" activePane="bottomLeft" state="frozen"/>
      <selection pane="bottomLeft" activeCell="J20" sqref="J20"/>
    </sheetView>
  </sheetViews>
  <sheetFormatPr baseColWidth="10" defaultColWidth="11.375" defaultRowHeight="15"/>
  <cols>
    <col min="1" max="1" width="2.25" style="1" customWidth="1"/>
    <col min="2" max="2" width="20.875" style="1" customWidth="1"/>
    <col min="3" max="3" width="9.25" style="1" customWidth="1"/>
    <col min="4" max="6" width="9.25" style="6" customWidth="1"/>
    <col min="7" max="7" width="18.625" style="5" customWidth="1"/>
    <col min="8" max="8" width="39.625" style="4" bestFit="1" customWidth="1"/>
    <col min="9" max="9" width="20.125" style="3" customWidth="1"/>
    <col min="10" max="10" width="11.75" style="1" bestFit="1" customWidth="1"/>
    <col min="11" max="11" width="20.125" style="67" customWidth="1"/>
    <col min="12" max="12" width="39.5" style="1" bestFit="1" customWidth="1"/>
    <col min="13" max="13" width="16.125" style="1" customWidth="1"/>
    <col min="14" max="14" width="31.25" style="1" customWidth="1"/>
    <col min="15" max="15" width="21.625" style="3" customWidth="1"/>
    <col min="16" max="16" width="25.25" style="3" customWidth="1"/>
    <col min="17" max="17" width="17.75" style="2" customWidth="1"/>
    <col min="18" max="18" width="24" style="1" customWidth="1"/>
    <col min="19" max="19" width="12.75" style="2" customWidth="1"/>
    <col min="20" max="20" width="12.125" style="1" bestFit="1" customWidth="1"/>
    <col min="21" max="16384" width="11.375" style="1"/>
  </cols>
  <sheetData>
    <row r="6" spans="2:19">
      <c r="L6" s="74"/>
      <c r="M6" s="3"/>
    </row>
    <row r="7" spans="2:19" ht="42.75" customHeight="1">
      <c r="S7" s="66"/>
    </row>
    <row r="8" spans="2:19" customFormat="1" ht="20.25">
      <c r="G8" s="85" t="s">
        <v>85</v>
      </c>
      <c r="H8" s="85"/>
      <c r="I8" s="85"/>
      <c r="J8" s="85"/>
      <c r="K8" s="68"/>
      <c r="O8" s="15"/>
      <c r="P8" s="15"/>
      <c r="Q8" s="14"/>
      <c r="S8" s="14"/>
    </row>
    <row r="9" spans="2:19">
      <c r="B9" s="18" t="s">
        <v>84</v>
      </c>
      <c r="C9" s="86" t="s">
        <v>301</v>
      </c>
      <c r="D9" s="87"/>
      <c r="E9" s="87"/>
      <c r="F9" s="88"/>
      <c r="G9" s="89" t="s">
        <v>83</v>
      </c>
      <c r="H9" s="89"/>
      <c r="I9" s="89"/>
      <c r="J9" s="89"/>
      <c r="L9" s="3"/>
    </row>
    <row r="10" spans="2:19">
      <c r="B10" s="18" t="s">
        <v>82</v>
      </c>
      <c r="C10" s="86" t="s">
        <v>81</v>
      </c>
      <c r="D10" s="87"/>
      <c r="E10" s="87"/>
      <c r="F10" s="88"/>
      <c r="G10" s="89" t="s">
        <v>80</v>
      </c>
      <c r="H10" s="89"/>
      <c r="I10" s="89"/>
      <c r="J10" s="89"/>
      <c r="M10" s="3"/>
    </row>
    <row r="11" spans="2:19">
      <c r="B11" s="18" t="s">
        <v>79</v>
      </c>
      <c r="C11" s="86" t="s">
        <v>78</v>
      </c>
      <c r="D11" s="87"/>
      <c r="E11" s="87"/>
      <c r="F11" s="88"/>
      <c r="G11" s="89" t="s">
        <v>77</v>
      </c>
      <c r="H11" s="89"/>
      <c r="I11" s="89"/>
      <c r="J11" s="89"/>
    </row>
    <row r="12" spans="2:19">
      <c r="B12" s="18" t="s">
        <v>76</v>
      </c>
      <c r="C12" s="86">
        <v>3122603704</v>
      </c>
      <c r="D12" s="87"/>
      <c r="E12" s="87"/>
      <c r="F12" s="88"/>
      <c r="G12" s="10"/>
      <c r="H12" s="10"/>
      <c r="I12" s="17"/>
      <c r="J12" s="10"/>
    </row>
    <row r="13" spans="2:19">
      <c r="B13" s="18" t="s">
        <v>75</v>
      </c>
      <c r="C13" s="92" t="s">
        <v>74</v>
      </c>
      <c r="D13" s="87"/>
      <c r="E13" s="87"/>
      <c r="F13" s="88"/>
      <c r="G13" s="10"/>
      <c r="H13" s="10"/>
      <c r="I13" s="17"/>
      <c r="J13" s="10"/>
    </row>
    <row r="14" spans="2:19" customFormat="1">
      <c r="H14" s="16"/>
      <c r="I14" s="15"/>
      <c r="K14" s="68"/>
      <c r="O14" s="15"/>
      <c r="P14" s="15"/>
      <c r="Q14" s="14"/>
      <c r="S14" s="14"/>
    </row>
    <row r="15" spans="2:19" s="11" customFormat="1" ht="15.75">
      <c r="B15" s="99" t="s">
        <v>73</v>
      </c>
      <c r="C15" s="99" t="s">
        <v>72</v>
      </c>
      <c r="D15" s="99" t="s">
        <v>71</v>
      </c>
      <c r="E15" s="99" t="s">
        <v>70</v>
      </c>
      <c r="F15" s="93" t="s">
        <v>69</v>
      </c>
      <c r="G15" s="93" t="s">
        <v>68</v>
      </c>
      <c r="H15" s="95" t="s">
        <v>67</v>
      </c>
      <c r="I15" s="97" t="s">
        <v>66</v>
      </c>
      <c r="J15" s="95" t="s">
        <v>65</v>
      </c>
      <c r="K15" s="95"/>
      <c r="L15" s="83" t="s">
        <v>64</v>
      </c>
      <c r="M15" s="90" t="s">
        <v>63</v>
      </c>
      <c r="N15" s="83" t="s">
        <v>62</v>
      </c>
      <c r="O15" s="101" t="s">
        <v>61</v>
      </c>
      <c r="P15" s="101" t="s">
        <v>60</v>
      </c>
      <c r="Q15" s="83" t="s">
        <v>59</v>
      </c>
      <c r="R15" s="83" t="s">
        <v>58</v>
      </c>
      <c r="S15" s="83" t="s">
        <v>207</v>
      </c>
    </row>
    <row r="16" spans="2:19" s="11" customFormat="1" ht="15.75">
      <c r="B16" s="100"/>
      <c r="C16" s="100"/>
      <c r="D16" s="100"/>
      <c r="E16" s="100"/>
      <c r="F16" s="94"/>
      <c r="G16" s="94"/>
      <c r="H16" s="96"/>
      <c r="I16" s="98"/>
      <c r="J16" s="19" t="s">
        <v>57</v>
      </c>
      <c r="K16" s="59" t="s">
        <v>56</v>
      </c>
      <c r="L16" s="84"/>
      <c r="M16" s="91"/>
      <c r="N16" s="84"/>
      <c r="O16" s="102"/>
      <c r="P16" s="102"/>
      <c r="Q16" s="84"/>
      <c r="R16" s="84"/>
      <c r="S16" s="84"/>
    </row>
    <row r="17" spans="2:20" s="11" customFormat="1" ht="15.75">
      <c r="B17" s="28"/>
      <c r="C17" s="28"/>
      <c r="D17" s="28"/>
      <c r="E17" s="28"/>
      <c r="F17" s="25"/>
      <c r="G17" s="25"/>
      <c r="H17" s="19"/>
      <c r="I17" s="26"/>
      <c r="J17" s="19"/>
      <c r="K17" s="59"/>
      <c r="L17" s="23"/>
      <c r="M17" s="27"/>
      <c r="N17" s="23"/>
      <c r="O17" s="24"/>
      <c r="P17" s="24"/>
      <c r="Q17" s="23"/>
      <c r="R17" s="23"/>
      <c r="S17" s="23"/>
    </row>
    <row r="18" spans="2:20" ht="185.25">
      <c r="B18" s="20" t="s">
        <v>86</v>
      </c>
      <c r="C18" s="20" t="s">
        <v>86</v>
      </c>
      <c r="D18" s="20" t="s">
        <v>87</v>
      </c>
      <c r="E18" s="8" t="s">
        <v>88</v>
      </c>
      <c r="F18" s="8" t="s">
        <v>89</v>
      </c>
      <c r="G18" s="8" t="str">
        <f>TEXT(ROW(A1),"000")&amp;"-2025"</f>
        <v>001-2025</v>
      </c>
      <c r="H18" s="8" t="s">
        <v>90</v>
      </c>
      <c r="I18" s="21">
        <v>888639388</v>
      </c>
      <c r="J18" s="20" t="s">
        <v>91</v>
      </c>
      <c r="K18" s="69" t="s">
        <v>92</v>
      </c>
      <c r="L18" s="37" t="s">
        <v>14</v>
      </c>
      <c r="M18" s="38" t="s">
        <v>2</v>
      </c>
      <c r="N18" s="37" t="s">
        <v>93</v>
      </c>
      <c r="O18" s="21">
        <f>382286090+505722273</f>
        <v>888008363</v>
      </c>
      <c r="P18" s="21">
        <f t="shared" ref="P18:P49" si="0">I18-O18</f>
        <v>631025</v>
      </c>
      <c r="Q18" s="36" t="s">
        <v>208</v>
      </c>
      <c r="R18" s="32" t="s">
        <v>349</v>
      </c>
      <c r="S18" s="56" t="s">
        <v>18</v>
      </c>
      <c r="T18" s="10" t="s">
        <v>302</v>
      </c>
    </row>
    <row r="19" spans="2:20" ht="185.25">
      <c r="B19" s="20" t="s">
        <v>86</v>
      </c>
      <c r="C19" s="20" t="s">
        <v>86</v>
      </c>
      <c r="D19" s="20" t="s">
        <v>87</v>
      </c>
      <c r="E19" s="8" t="s">
        <v>88</v>
      </c>
      <c r="F19" s="8" t="s">
        <v>89</v>
      </c>
      <c r="G19" s="8" t="str">
        <f>TEXT(ROW(A2),"000")&amp;"-2025"</f>
        <v>002-2025</v>
      </c>
      <c r="H19" s="57" t="s">
        <v>94</v>
      </c>
      <c r="I19" s="21">
        <v>62199958</v>
      </c>
      <c r="J19" s="20" t="s">
        <v>91</v>
      </c>
      <c r="K19" s="20" t="s">
        <v>95</v>
      </c>
      <c r="L19" s="37" t="s">
        <v>17</v>
      </c>
      <c r="M19" s="38" t="s">
        <v>2</v>
      </c>
      <c r="N19" s="37" t="s">
        <v>96</v>
      </c>
      <c r="O19" s="21">
        <v>62155790</v>
      </c>
      <c r="P19" s="21">
        <f t="shared" si="0"/>
        <v>44168</v>
      </c>
      <c r="Q19" s="36" t="s">
        <v>208</v>
      </c>
      <c r="R19" s="32" t="s">
        <v>350</v>
      </c>
      <c r="S19" s="56" t="s">
        <v>5</v>
      </c>
      <c r="T19" s="10" t="s">
        <v>302</v>
      </c>
    </row>
    <row r="20" spans="2:20" ht="342">
      <c r="B20" s="20" t="s">
        <v>86</v>
      </c>
      <c r="C20" s="20" t="s">
        <v>86</v>
      </c>
      <c r="D20" s="20" t="s">
        <v>87</v>
      </c>
      <c r="E20" s="8" t="s">
        <v>88</v>
      </c>
      <c r="F20" s="8" t="s">
        <v>89</v>
      </c>
      <c r="G20" s="8" t="str">
        <f>TEXT(ROW(A3),"000")&amp;"-2025"</f>
        <v>003-2025</v>
      </c>
      <c r="H20" s="58" t="s">
        <v>97</v>
      </c>
      <c r="I20" s="21">
        <v>41047500</v>
      </c>
      <c r="J20" s="8" t="s">
        <v>98</v>
      </c>
      <c r="K20" s="69" t="s">
        <v>99</v>
      </c>
      <c r="L20" s="37" t="s">
        <v>3</v>
      </c>
      <c r="M20" s="38" t="s">
        <v>2</v>
      </c>
      <c r="N20" s="37" t="s">
        <v>100</v>
      </c>
      <c r="O20" s="21">
        <f>6841250*6</f>
        <v>41047500</v>
      </c>
      <c r="P20" s="21">
        <f t="shared" si="0"/>
        <v>0</v>
      </c>
      <c r="Q20" s="36" t="s">
        <v>273</v>
      </c>
      <c r="R20" s="32" t="s">
        <v>351</v>
      </c>
      <c r="S20" s="36" t="s">
        <v>18</v>
      </c>
    </row>
    <row r="21" spans="2:20" ht="342">
      <c r="B21" s="20" t="s">
        <v>86</v>
      </c>
      <c r="C21" s="20" t="s">
        <v>86</v>
      </c>
      <c r="D21" s="20" t="s">
        <v>87</v>
      </c>
      <c r="E21" s="8" t="s">
        <v>88</v>
      </c>
      <c r="F21" s="8" t="s">
        <v>89</v>
      </c>
      <c r="G21" s="8" t="str">
        <f t="shared" ref="G21:G81" si="1">TEXT(ROW(A4),"000")&amp;"-2025"</f>
        <v>004-2025</v>
      </c>
      <c r="H21" s="43" t="s">
        <v>101</v>
      </c>
      <c r="I21" s="21">
        <v>29731020</v>
      </c>
      <c r="J21" s="8" t="s">
        <v>102</v>
      </c>
      <c r="K21" s="69" t="s">
        <v>99</v>
      </c>
      <c r="L21" s="37" t="s">
        <v>3</v>
      </c>
      <c r="M21" s="38" t="s">
        <v>2</v>
      </c>
      <c r="N21" s="37" t="s">
        <v>103</v>
      </c>
      <c r="O21" s="21">
        <f>4955170*6</f>
        <v>29731020</v>
      </c>
      <c r="P21" s="21">
        <f t="shared" si="0"/>
        <v>0</v>
      </c>
      <c r="Q21" s="36" t="s">
        <v>273</v>
      </c>
      <c r="R21" s="32" t="s">
        <v>352</v>
      </c>
      <c r="S21" s="36" t="s">
        <v>18</v>
      </c>
    </row>
    <row r="22" spans="2:20" ht="342">
      <c r="B22" s="20" t="s">
        <v>86</v>
      </c>
      <c r="C22" s="20" t="s">
        <v>86</v>
      </c>
      <c r="D22" s="20" t="s">
        <v>87</v>
      </c>
      <c r="E22" s="8" t="s">
        <v>88</v>
      </c>
      <c r="F22" s="8" t="s">
        <v>89</v>
      </c>
      <c r="G22" s="8" t="str">
        <f t="shared" si="1"/>
        <v>005-2025</v>
      </c>
      <c r="H22" s="57" t="s">
        <v>104</v>
      </c>
      <c r="I22" s="21">
        <v>32522250</v>
      </c>
      <c r="J22" s="8" t="s">
        <v>98</v>
      </c>
      <c r="K22" s="69" t="s">
        <v>99</v>
      </c>
      <c r="L22" s="37" t="s">
        <v>3</v>
      </c>
      <c r="M22" s="38" t="s">
        <v>2</v>
      </c>
      <c r="N22" s="37" t="s">
        <v>105</v>
      </c>
      <c r="O22" s="21">
        <f>5420375*6</f>
        <v>32522250</v>
      </c>
      <c r="P22" s="21">
        <f t="shared" si="0"/>
        <v>0</v>
      </c>
      <c r="Q22" s="36" t="s">
        <v>273</v>
      </c>
      <c r="R22" s="32" t="s">
        <v>353</v>
      </c>
      <c r="S22" s="36" t="s">
        <v>18</v>
      </c>
    </row>
    <row r="23" spans="2:20" ht="342">
      <c r="B23" s="20" t="s">
        <v>86</v>
      </c>
      <c r="C23" s="20" t="s">
        <v>86</v>
      </c>
      <c r="D23" s="20" t="s">
        <v>87</v>
      </c>
      <c r="E23" s="8" t="s">
        <v>88</v>
      </c>
      <c r="F23" s="8" t="s">
        <v>89</v>
      </c>
      <c r="G23" s="8" t="str">
        <f t="shared" si="1"/>
        <v>006-2025</v>
      </c>
      <c r="H23" s="8" t="s">
        <v>106</v>
      </c>
      <c r="I23" s="21">
        <v>18700000</v>
      </c>
      <c r="J23" s="8" t="s">
        <v>98</v>
      </c>
      <c r="K23" s="69" t="s">
        <v>99</v>
      </c>
      <c r="L23" s="37" t="s">
        <v>3</v>
      </c>
      <c r="M23" s="38" t="s">
        <v>2</v>
      </c>
      <c r="N23" s="42" t="s">
        <v>107</v>
      </c>
      <c r="O23" s="21">
        <f>1700000+(3400000*5)</f>
        <v>18700000</v>
      </c>
      <c r="P23" s="21">
        <f t="shared" si="0"/>
        <v>0</v>
      </c>
      <c r="Q23" s="36" t="s">
        <v>273</v>
      </c>
      <c r="R23" s="32" t="s">
        <v>354</v>
      </c>
      <c r="S23" s="36" t="s">
        <v>18</v>
      </c>
    </row>
    <row r="24" spans="2:20" ht="185.25">
      <c r="B24" s="20" t="s">
        <v>86</v>
      </c>
      <c r="C24" s="20" t="s">
        <v>86</v>
      </c>
      <c r="D24" s="20" t="s">
        <v>87</v>
      </c>
      <c r="E24" s="8" t="s">
        <v>88</v>
      </c>
      <c r="F24" s="8" t="s">
        <v>89</v>
      </c>
      <c r="G24" s="8" t="str">
        <f t="shared" si="1"/>
        <v>007-2025</v>
      </c>
      <c r="H24" s="8" t="s">
        <v>139</v>
      </c>
      <c r="I24" s="21">
        <v>436654600</v>
      </c>
      <c r="J24" s="8" t="s">
        <v>140</v>
      </c>
      <c r="K24" s="20" t="s">
        <v>95</v>
      </c>
      <c r="L24" s="37" t="s">
        <v>14</v>
      </c>
      <c r="M24" s="38" t="s">
        <v>2</v>
      </c>
      <c r="N24" s="42" t="s">
        <v>141</v>
      </c>
      <c r="O24" s="21">
        <v>197619779</v>
      </c>
      <c r="P24" s="21">
        <f t="shared" si="0"/>
        <v>239034821</v>
      </c>
      <c r="Q24" s="36" t="s">
        <v>208</v>
      </c>
      <c r="R24" s="32" t="s">
        <v>350</v>
      </c>
      <c r="S24" s="36" t="s">
        <v>5</v>
      </c>
      <c r="T24" s="1" t="s">
        <v>302</v>
      </c>
    </row>
    <row r="25" spans="2:20" ht="342">
      <c r="B25" s="20" t="s">
        <v>86</v>
      </c>
      <c r="C25" s="20" t="s">
        <v>86</v>
      </c>
      <c r="D25" s="20" t="s">
        <v>87</v>
      </c>
      <c r="E25" s="8" t="s">
        <v>88</v>
      </c>
      <c r="F25" s="8" t="s">
        <v>89</v>
      </c>
      <c r="G25" s="8" t="str">
        <f t="shared" si="1"/>
        <v>008-2025</v>
      </c>
      <c r="H25" s="8" t="s">
        <v>142</v>
      </c>
      <c r="I25" s="21">
        <v>15375140</v>
      </c>
      <c r="J25" s="8" t="s">
        <v>98</v>
      </c>
      <c r="K25" s="69" t="s">
        <v>99</v>
      </c>
      <c r="L25" s="37" t="s">
        <v>3</v>
      </c>
      <c r="M25" s="38" t="s">
        <v>2</v>
      </c>
      <c r="N25" s="42" t="s">
        <v>348</v>
      </c>
      <c r="O25" s="21">
        <f>1397740+(2795480*5)</f>
        <v>15375140</v>
      </c>
      <c r="P25" s="21">
        <f t="shared" si="0"/>
        <v>0</v>
      </c>
      <c r="Q25" s="36" t="s">
        <v>273</v>
      </c>
      <c r="R25" s="32" t="s">
        <v>355</v>
      </c>
      <c r="S25" s="36" t="s">
        <v>18</v>
      </c>
    </row>
    <row r="26" spans="2:20" ht="342">
      <c r="B26" s="20" t="s">
        <v>86</v>
      </c>
      <c r="C26" s="20" t="s">
        <v>86</v>
      </c>
      <c r="D26" s="20" t="s">
        <v>87</v>
      </c>
      <c r="E26" s="8" t="s">
        <v>88</v>
      </c>
      <c r="F26" s="8" t="s">
        <v>89</v>
      </c>
      <c r="G26" s="8" t="str">
        <f t="shared" si="1"/>
        <v>009-2025</v>
      </c>
      <c r="H26" s="8" t="s">
        <v>108</v>
      </c>
      <c r="I26" s="21">
        <v>21013162</v>
      </c>
      <c r="J26" s="8" t="s">
        <v>109</v>
      </c>
      <c r="K26" s="69" t="s">
        <v>99</v>
      </c>
      <c r="L26" s="37" t="s">
        <v>3</v>
      </c>
      <c r="M26" s="38" t="s">
        <v>2</v>
      </c>
      <c r="N26" s="37" t="s">
        <v>110</v>
      </c>
      <c r="O26" s="21">
        <f>1910287.5+(3820574.9*5)</f>
        <v>21013162</v>
      </c>
      <c r="P26" s="21">
        <f t="shared" si="0"/>
        <v>0</v>
      </c>
      <c r="Q26" s="36" t="s">
        <v>273</v>
      </c>
      <c r="R26" s="32" t="s">
        <v>356</v>
      </c>
      <c r="S26" s="36" t="s">
        <v>18</v>
      </c>
    </row>
    <row r="27" spans="2:20" ht="342">
      <c r="B27" s="20" t="s">
        <v>86</v>
      </c>
      <c r="C27" s="20" t="s">
        <v>86</v>
      </c>
      <c r="D27" s="20" t="s">
        <v>87</v>
      </c>
      <c r="E27" s="8" t="s">
        <v>88</v>
      </c>
      <c r="F27" s="8" t="s">
        <v>89</v>
      </c>
      <c r="G27" s="8" t="str">
        <f t="shared" si="1"/>
        <v>010-2025</v>
      </c>
      <c r="H27" s="43" t="s">
        <v>111</v>
      </c>
      <c r="I27" s="21">
        <v>12885968</v>
      </c>
      <c r="J27" s="8" t="s">
        <v>112</v>
      </c>
      <c r="K27" s="69" t="s">
        <v>99</v>
      </c>
      <c r="L27" s="37" t="s">
        <v>3</v>
      </c>
      <c r="M27" s="38" t="s">
        <v>2</v>
      </c>
      <c r="N27" s="37" t="s">
        <v>113</v>
      </c>
      <c r="O27" s="21">
        <f>805373+(2416119*5)</f>
        <v>12885968</v>
      </c>
      <c r="P27" s="21">
        <f t="shared" si="0"/>
        <v>0</v>
      </c>
      <c r="Q27" s="36" t="s">
        <v>273</v>
      </c>
      <c r="R27" s="32" t="s">
        <v>357</v>
      </c>
      <c r="S27" s="36" t="s">
        <v>18</v>
      </c>
    </row>
    <row r="28" spans="2:20" ht="270.75">
      <c r="B28" s="20" t="s">
        <v>86</v>
      </c>
      <c r="C28" s="20" t="s">
        <v>86</v>
      </c>
      <c r="D28" s="20" t="s">
        <v>87</v>
      </c>
      <c r="E28" s="8" t="s">
        <v>88</v>
      </c>
      <c r="F28" s="8" t="s">
        <v>89</v>
      </c>
      <c r="G28" s="8" t="str">
        <f t="shared" si="1"/>
        <v>011-2025</v>
      </c>
      <c r="H28" s="41" t="s">
        <v>114</v>
      </c>
      <c r="I28" s="22">
        <v>14000000</v>
      </c>
      <c r="J28" s="8" t="s">
        <v>115</v>
      </c>
      <c r="K28" s="69" t="s">
        <v>116</v>
      </c>
      <c r="L28" s="37" t="s">
        <v>3</v>
      </c>
      <c r="M28" s="38" t="s">
        <v>2</v>
      </c>
      <c r="N28" s="37" t="s">
        <v>117</v>
      </c>
      <c r="O28" s="21">
        <f>1673025+984811+990651+945144+949877+789540+1007862+1401979+1035394+1026264+945275</f>
        <v>11749822</v>
      </c>
      <c r="P28" s="21">
        <f t="shared" si="0"/>
        <v>2250178</v>
      </c>
      <c r="Q28" s="36" t="s">
        <v>9</v>
      </c>
      <c r="R28" s="32" t="s">
        <v>361</v>
      </c>
      <c r="S28" s="36" t="s">
        <v>18</v>
      </c>
    </row>
    <row r="29" spans="2:20" ht="270.75">
      <c r="B29" s="20" t="s">
        <v>86</v>
      </c>
      <c r="C29" s="20" t="s">
        <v>86</v>
      </c>
      <c r="D29" s="20" t="s">
        <v>87</v>
      </c>
      <c r="E29" s="8" t="s">
        <v>88</v>
      </c>
      <c r="F29" s="8" t="s">
        <v>89</v>
      </c>
      <c r="G29" s="8" t="str">
        <f t="shared" si="1"/>
        <v>012-2025</v>
      </c>
      <c r="H29" s="8" t="s">
        <v>118</v>
      </c>
      <c r="I29" s="21">
        <v>30619609</v>
      </c>
      <c r="J29" s="8" t="s">
        <v>119</v>
      </c>
      <c r="K29" s="69" t="s">
        <v>116</v>
      </c>
      <c r="L29" s="37" t="s">
        <v>3</v>
      </c>
      <c r="M29" s="38" t="s">
        <v>2</v>
      </c>
      <c r="N29" s="37" t="s">
        <v>120</v>
      </c>
      <c r="O29" s="21">
        <f>10206536+10206536</f>
        <v>20413072</v>
      </c>
      <c r="P29" s="21">
        <f t="shared" si="0"/>
        <v>10206537</v>
      </c>
      <c r="Q29" s="36" t="s">
        <v>9</v>
      </c>
      <c r="R29" s="32" t="s">
        <v>361</v>
      </c>
      <c r="S29" s="36" t="s">
        <v>18</v>
      </c>
      <c r="T29" s="1" t="s">
        <v>302</v>
      </c>
    </row>
    <row r="30" spans="2:20" ht="313.5">
      <c r="B30" s="20" t="s">
        <v>86</v>
      </c>
      <c r="C30" s="20" t="s">
        <v>86</v>
      </c>
      <c r="D30" s="20" t="s">
        <v>87</v>
      </c>
      <c r="E30" s="8" t="s">
        <v>88</v>
      </c>
      <c r="F30" s="8" t="s">
        <v>89</v>
      </c>
      <c r="G30" s="8" t="str">
        <f t="shared" si="1"/>
        <v>013-2025</v>
      </c>
      <c r="H30" s="8" t="s">
        <v>121</v>
      </c>
      <c r="I30" s="21">
        <v>13977400</v>
      </c>
      <c r="J30" s="8" t="s">
        <v>122</v>
      </c>
      <c r="K30" s="69" t="s">
        <v>99</v>
      </c>
      <c r="L30" s="37" t="s">
        <v>3</v>
      </c>
      <c r="M30" s="38" t="s">
        <v>2</v>
      </c>
      <c r="N30" s="37" t="s">
        <v>123</v>
      </c>
      <c r="O30" s="21">
        <f>2795480*5</f>
        <v>13977400</v>
      </c>
      <c r="P30" s="21">
        <f t="shared" si="0"/>
        <v>0</v>
      </c>
      <c r="Q30" s="36" t="s">
        <v>273</v>
      </c>
      <c r="R30" s="32" t="s">
        <v>358</v>
      </c>
      <c r="S30" s="36" t="s">
        <v>18</v>
      </c>
    </row>
    <row r="31" spans="2:20" ht="327.75">
      <c r="B31" s="20" t="s">
        <v>86</v>
      </c>
      <c r="C31" s="20" t="s">
        <v>86</v>
      </c>
      <c r="D31" s="20" t="s">
        <v>87</v>
      </c>
      <c r="E31" s="8" t="s">
        <v>88</v>
      </c>
      <c r="F31" s="8" t="s">
        <v>89</v>
      </c>
      <c r="G31" s="8" t="str">
        <f t="shared" si="1"/>
        <v>014-2025</v>
      </c>
      <c r="H31" s="8" t="s">
        <v>124</v>
      </c>
      <c r="I31" s="21">
        <v>6367625</v>
      </c>
      <c r="J31" s="8" t="s">
        <v>125</v>
      </c>
      <c r="K31" s="69" t="s">
        <v>126</v>
      </c>
      <c r="L31" s="37" t="s">
        <v>3</v>
      </c>
      <c r="M31" s="38" t="s">
        <v>2</v>
      </c>
      <c r="N31" s="42" t="s">
        <v>127</v>
      </c>
      <c r="O31" s="21">
        <f>578875*11</f>
        <v>6367625</v>
      </c>
      <c r="P31" s="21">
        <f t="shared" si="0"/>
        <v>0</v>
      </c>
      <c r="Q31" s="36" t="s">
        <v>208</v>
      </c>
      <c r="R31" s="32" t="s">
        <v>362</v>
      </c>
      <c r="S31" s="36" t="s">
        <v>18</v>
      </c>
    </row>
    <row r="32" spans="2:20" ht="327.75">
      <c r="B32" s="20" t="s">
        <v>86</v>
      </c>
      <c r="C32" s="20" t="s">
        <v>86</v>
      </c>
      <c r="D32" s="20" t="s">
        <v>87</v>
      </c>
      <c r="E32" s="8" t="s">
        <v>88</v>
      </c>
      <c r="F32" s="8" t="s">
        <v>89</v>
      </c>
      <c r="G32" s="8" t="str">
        <f t="shared" si="1"/>
        <v>015-2025</v>
      </c>
      <c r="H32" s="8" t="s">
        <v>128</v>
      </c>
      <c r="I32" s="21">
        <f>32998500+16491392</f>
        <v>49489892</v>
      </c>
      <c r="J32" s="8" t="s">
        <v>129</v>
      </c>
      <c r="K32" s="69" t="s">
        <v>116</v>
      </c>
      <c r="L32" s="37" t="s">
        <v>3</v>
      </c>
      <c r="M32" s="38" t="s">
        <v>2</v>
      </c>
      <c r="N32" s="37" t="s">
        <v>130</v>
      </c>
      <c r="O32" s="21">
        <f>3260005+2350000+3278090+6655432+9470184.22+2986781+2374700+3778421.36+3403400+9661299.41+2261000</f>
        <v>49479312.989999995</v>
      </c>
      <c r="P32" s="21">
        <f t="shared" si="0"/>
        <v>10579.010000005364</v>
      </c>
      <c r="Q32" s="36" t="s">
        <v>208</v>
      </c>
      <c r="R32" s="32" t="s">
        <v>363</v>
      </c>
      <c r="S32" s="36" t="s">
        <v>18</v>
      </c>
      <c r="T32" s="1" t="s">
        <v>346</v>
      </c>
    </row>
    <row r="33" spans="1:20" ht="270.75">
      <c r="B33" s="20" t="s">
        <v>86</v>
      </c>
      <c r="C33" s="20" t="s">
        <v>86</v>
      </c>
      <c r="D33" s="20" t="s">
        <v>87</v>
      </c>
      <c r="E33" s="8" t="s">
        <v>88</v>
      </c>
      <c r="F33" s="8" t="s">
        <v>89</v>
      </c>
      <c r="G33" s="8" t="str">
        <f t="shared" si="1"/>
        <v>016-2025</v>
      </c>
      <c r="H33" s="43" t="s">
        <v>131</v>
      </c>
      <c r="I33" s="21">
        <f>10000000+5000000</f>
        <v>15000000</v>
      </c>
      <c r="J33" s="8" t="s">
        <v>132</v>
      </c>
      <c r="K33" s="69" t="s">
        <v>116</v>
      </c>
      <c r="L33" s="37" t="s">
        <v>11</v>
      </c>
      <c r="M33" s="38" t="s">
        <v>2</v>
      </c>
      <c r="N33" s="37" t="s">
        <v>133</v>
      </c>
      <c r="O33" s="21">
        <f>1406700+3190777+2826303+2088300+2008000+2942400</f>
        <v>14462480</v>
      </c>
      <c r="P33" s="21">
        <f t="shared" si="0"/>
        <v>537520</v>
      </c>
      <c r="Q33" s="36" t="s">
        <v>9</v>
      </c>
      <c r="R33" s="32" t="s">
        <v>361</v>
      </c>
      <c r="S33" s="36" t="s">
        <v>18</v>
      </c>
      <c r="T33" s="1" t="s">
        <v>346</v>
      </c>
    </row>
    <row r="34" spans="1:20" ht="270.75">
      <c r="B34" s="20" t="s">
        <v>86</v>
      </c>
      <c r="C34" s="20" t="s">
        <v>86</v>
      </c>
      <c r="D34" s="20" t="s">
        <v>87</v>
      </c>
      <c r="E34" s="8" t="s">
        <v>88</v>
      </c>
      <c r="F34" s="8" t="s">
        <v>89</v>
      </c>
      <c r="G34" s="8" t="str">
        <f t="shared" si="1"/>
        <v>017-2025</v>
      </c>
      <c r="H34" s="8" t="s">
        <v>134</v>
      </c>
      <c r="I34" s="21">
        <v>377900000</v>
      </c>
      <c r="J34" s="8" t="s">
        <v>132</v>
      </c>
      <c r="K34" s="20" t="s">
        <v>116</v>
      </c>
      <c r="L34" s="37" t="s">
        <v>11</v>
      </c>
      <c r="M34" s="38" t="s">
        <v>2</v>
      </c>
      <c r="N34" s="37" t="s">
        <v>135</v>
      </c>
      <c r="O34" s="21">
        <f>27812544+33159982+34124474+50254865+57491038+57457738+111916642</f>
        <v>372217283</v>
      </c>
      <c r="P34" s="21">
        <f t="shared" si="0"/>
        <v>5682717</v>
      </c>
      <c r="Q34" s="36" t="s">
        <v>9</v>
      </c>
      <c r="R34" s="32" t="s">
        <v>361</v>
      </c>
      <c r="S34" s="36" t="s">
        <v>0</v>
      </c>
      <c r="T34" s="1" t="s">
        <v>302</v>
      </c>
    </row>
    <row r="35" spans="1:20" ht="270.75">
      <c r="B35" s="20" t="s">
        <v>86</v>
      </c>
      <c r="C35" s="20" t="s">
        <v>86</v>
      </c>
      <c r="D35" s="20" t="s">
        <v>87</v>
      </c>
      <c r="E35" s="8" t="s">
        <v>88</v>
      </c>
      <c r="F35" s="8" t="s">
        <v>89</v>
      </c>
      <c r="G35" s="8" t="str">
        <f t="shared" si="1"/>
        <v>018-2025</v>
      </c>
      <c r="H35" s="7" t="s">
        <v>136</v>
      </c>
      <c r="I35" s="21">
        <f>88425148.11+23635000</f>
        <v>112060148.11</v>
      </c>
      <c r="J35" s="8" t="s">
        <v>137</v>
      </c>
      <c r="K35" s="20" t="s">
        <v>116</v>
      </c>
      <c r="L35" s="37" t="s">
        <v>3</v>
      </c>
      <c r="M35" s="38" t="s">
        <v>2</v>
      </c>
      <c r="N35" s="37" t="s">
        <v>138</v>
      </c>
      <c r="O35" s="21">
        <f>18059200+32997980+1768300+43302300</f>
        <v>96127780</v>
      </c>
      <c r="P35" s="21">
        <f t="shared" si="0"/>
        <v>15932368.109999999</v>
      </c>
      <c r="Q35" s="36" t="s">
        <v>9</v>
      </c>
      <c r="R35" s="32" t="s">
        <v>361</v>
      </c>
      <c r="S35" s="36" t="s">
        <v>0</v>
      </c>
    </row>
    <row r="36" spans="1:20" ht="270.75">
      <c r="A36" s="9" t="s">
        <v>55</v>
      </c>
      <c r="B36" s="20" t="s">
        <v>86</v>
      </c>
      <c r="C36" s="20" t="s">
        <v>86</v>
      </c>
      <c r="D36" s="20" t="s">
        <v>87</v>
      </c>
      <c r="E36" s="8" t="s">
        <v>88</v>
      </c>
      <c r="F36" s="31" t="s">
        <v>89</v>
      </c>
      <c r="G36" s="31" t="str">
        <f t="shared" si="1"/>
        <v>019-2025</v>
      </c>
      <c r="H36" s="7" t="s">
        <v>54</v>
      </c>
      <c r="I36" s="33">
        <v>154599450</v>
      </c>
      <c r="J36" s="34">
        <v>45719</v>
      </c>
      <c r="K36" s="34">
        <v>45838</v>
      </c>
      <c r="L36" s="37" t="s">
        <v>3</v>
      </c>
      <c r="M36" s="38" t="s">
        <v>2</v>
      </c>
      <c r="N36" s="41" t="s">
        <v>53</v>
      </c>
      <c r="O36" s="33">
        <f>51760197+52200879+50638374</f>
        <v>154599450</v>
      </c>
      <c r="P36" s="33">
        <f t="shared" si="0"/>
        <v>0</v>
      </c>
      <c r="Q36" s="36" t="s">
        <v>208</v>
      </c>
      <c r="R36" s="32" t="s">
        <v>364</v>
      </c>
      <c r="S36" s="36" t="s">
        <v>0</v>
      </c>
      <c r="T36" s="1" t="s">
        <v>302</v>
      </c>
    </row>
    <row r="37" spans="1:20" ht="342">
      <c r="B37" s="20" t="s">
        <v>86</v>
      </c>
      <c r="C37" s="20" t="s">
        <v>86</v>
      </c>
      <c r="D37" s="20" t="s">
        <v>87</v>
      </c>
      <c r="E37" s="8" t="s">
        <v>88</v>
      </c>
      <c r="F37" s="8" t="s">
        <v>89</v>
      </c>
      <c r="G37" s="8" t="str">
        <f t="shared" si="1"/>
        <v>020-2025</v>
      </c>
      <c r="H37" s="7" t="s">
        <v>52</v>
      </c>
      <c r="I37" s="33">
        <v>14400000</v>
      </c>
      <c r="J37" s="34">
        <v>45722</v>
      </c>
      <c r="K37" s="70">
        <v>45899</v>
      </c>
      <c r="L37" s="35" t="s">
        <v>3</v>
      </c>
      <c r="M37" s="35" t="s">
        <v>2</v>
      </c>
      <c r="N37" s="41" t="s">
        <v>51</v>
      </c>
      <c r="O37" s="33">
        <f>2400000*6</f>
        <v>14400000</v>
      </c>
      <c r="P37" s="33">
        <f t="shared" si="0"/>
        <v>0</v>
      </c>
      <c r="Q37" s="36" t="s">
        <v>273</v>
      </c>
      <c r="R37" s="32" t="s">
        <v>359</v>
      </c>
      <c r="S37" s="36" t="s">
        <v>18</v>
      </c>
    </row>
    <row r="38" spans="1:20" ht="270.75">
      <c r="B38" s="20" t="s">
        <v>86</v>
      </c>
      <c r="C38" s="20" t="s">
        <v>86</v>
      </c>
      <c r="D38" s="20" t="s">
        <v>87</v>
      </c>
      <c r="E38" s="8" t="s">
        <v>88</v>
      </c>
      <c r="F38" s="8" t="s">
        <v>89</v>
      </c>
      <c r="G38" s="8" t="str">
        <f t="shared" si="1"/>
        <v>021-2025</v>
      </c>
      <c r="H38" s="7" t="s">
        <v>50</v>
      </c>
      <c r="I38" s="33">
        <v>10000000</v>
      </c>
      <c r="J38" s="34">
        <v>45722</v>
      </c>
      <c r="K38" s="70">
        <v>46022</v>
      </c>
      <c r="L38" s="35" t="s">
        <v>3</v>
      </c>
      <c r="M38" s="35" t="s">
        <v>2</v>
      </c>
      <c r="N38" s="32" t="s">
        <v>30</v>
      </c>
      <c r="O38" s="33">
        <f>3361200+486783</f>
        <v>3847983</v>
      </c>
      <c r="P38" s="33">
        <f t="shared" si="0"/>
        <v>6152017</v>
      </c>
      <c r="Q38" s="36" t="s">
        <v>9</v>
      </c>
      <c r="R38" s="32" t="s">
        <v>361</v>
      </c>
      <c r="S38" s="36" t="s">
        <v>18</v>
      </c>
      <c r="T38" s="1" t="s">
        <v>302</v>
      </c>
    </row>
    <row r="39" spans="1:20" ht="313.5">
      <c r="B39" s="20" t="s">
        <v>86</v>
      </c>
      <c r="C39" s="20" t="s">
        <v>86</v>
      </c>
      <c r="D39" s="20" t="s">
        <v>87</v>
      </c>
      <c r="E39" s="8" t="s">
        <v>88</v>
      </c>
      <c r="F39" s="31" t="s">
        <v>89</v>
      </c>
      <c r="G39" s="31" t="str">
        <f t="shared" si="1"/>
        <v>022-2025</v>
      </c>
      <c r="H39" s="7" t="s">
        <v>49</v>
      </c>
      <c r="I39" s="33">
        <v>1255000000</v>
      </c>
      <c r="J39" s="34">
        <v>45734</v>
      </c>
      <c r="K39" s="34">
        <v>46022</v>
      </c>
      <c r="L39" s="35" t="s">
        <v>3</v>
      </c>
      <c r="M39" s="35" t="s">
        <v>2</v>
      </c>
      <c r="N39" s="32" t="s">
        <v>48</v>
      </c>
      <c r="O39" s="33">
        <f>122500000*5</f>
        <v>612500000</v>
      </c>
      <c r="P39" s="33">
        <f t="shared" si="0"/>
        <v>642500000</v>
      </c>
      <c r="Q39" s="36" t="s">
        <v>273</v>
      </c>
      <c r="R39" s="32" t="s">
        <v>365</v>
      </c>
      <c r="S39" s="36" t="s">
        <v>0</v>
      </c>
    </row>
    <row r="40" spans="1:20" ht="156.75">
      <c r="B40" s="20" t="s">
        <v>86</v>
      </c>
      <c r="C40" s="20" t="s">
        <v>86</v>
      </c>
      <c r="D40" s="20" t="s">
        <v>87</v>
      </c>
      <c r="E40" s="8" t="s">
        <v>88</v>
      </c>
      <c r="F40" s="8" t="s">
        <v>89</v>
      </c>
      <c r="G40" s="8" t="str">
        <f t="shared" si="1"/>
        <v>023-2025</v>
      </c>
      <c r="H40" s="7" t="s">
        <v>47</v>
      </c>
      <c r="I40" s="33">
        <v>33332936</v>
      </c>
      <c r="J40" s="34">
        <v>45728</v>
      </c>
      <c r="K40" s="34">
        <v>46022</v>
      </c>
      <c r="L40" s="37" t="s">
        <v>14</v>
      </c>
      <c r="M40" s="35" t="s">
        <v>2</v>
      </c>
      <c r="N40" s="32" t="s">
        <v>46</v>
      </c>
      <c r="O40" s="33">
        <f>33332936</f>
        <v>33332936</v>
      </c>
      <c r="P40" s="33">
        <f t="shared" si="0"/>
        <v>0</v>
      </c>
      <c r="Q40" s="36" t="s">
        <v>208</v>
      </c>
      <c r="R40" s="32" t="s">
        <v>366</v>
      </c>
      <c r="S40" s="36" t="s">
        <v>5</v>
      </c>
      <c r="T40" s="1" t="s">
        <v>302</v>
      </c>
    </row>
    <row r="41" spans="1:20" ht="270.75">
      <c r="B41" s="20" t="s">
        <v>86</v>
      </c>
      <c r="C41" s="20" t="s">
        <v>86</v>
      </c>
      <c r="D41" s="20" t="s">
        <v>87</v>
      </c>
      <c r="E41" s="8" t="s">
        <v>88</v>
      </c>
      <c r="F41" s="8" t="s">
        <v>89</v>
      </c>
      <c r="G41" s="8" t="str">
        <f t="shared" si="1"/>
        <v>024-2025</v>
      </c>
      <c r="H41" s="7" t="s">
        <v>45</v>
      </c>
      <c r="I41" s="33">
        <v>1859614280</v>
      </c>
      <c r="J41" s="34">
        <v>45743</v>
      </c>
      <c r="K41" s="34">
        <v>45907</v>
      </c>
      <c r="L41" s="37" t="s">
        <v>14</v>
      </c>
      <c r="M41" s="35" t="s">
        <v>2</v>
      </c>
      <c r="N41" s="32" t="s">
        <v>44</v>
      </c>
      <c r="O41" s="33">
        <f>177284174+353885431+1142444439+182257542</f>
        <v>1855871586</v>
      </c>
      <c r="P41" s="33">
        <f t="shared" si="0"/>
        <v>3742694</v>
      </c>
      <c r="Q41" s="36" t="s">
        <v>9</v>
      </c>
      <c r="R41" s="32" t="s">
        <v>361</v>
      </c>
      <c r="S41" s="36" t="s">
        <v>5</v>
      </c>
    </row>
    <row r="42" spans="1:20" ht="285">
      <c r="B42" s="20" t="s">
        <v>86</v>
      </c>
      <c r="C42" s="20" t="s">
        <v>86</v>
      </c>
      <c r="D42" s="20" t="s">
        <v>87</v>
      </c>
      <c r="E42" s="8" t="s">
        <v>88</v>
      </c>
      <c r="F42" s="31" t="s">
        <v>89</v>
      </c>
      <c r="G42" s="31" t="str">
        <f t="shared" si="1"/>
        <v>025-2025</v>
      </c>
      <c r="H42" s="7" t="s">
        <v>43</v>
      </c>
      <c r="I42" s="33">
        <v>16500000</v>
      </c>
      <c r="J42" s="34">
        <v>45731</v>
      </c>
      <c r="K42" s="70">
        <v>45900</v>
      </c>
      <c r="L42" s="35" t="s">
        <v>3</v>
      </c>
      <c r="M42" s="35" t="s">
        <v>2</v>
      </c>
      <c r="N42" s="32" t="s">
        <v>42</v>
      </c>
      <c r="O42" s="33">
        <f>1500000+(3000000*5)</f>
        <v>16500000</v>
      </c>
      <c r="P42" s="33">
        <f t="shared" si="0"/>
        <v>0</v>
      </c>
      <c r="Q42" s="36" t="s">
        <v>273</v>
      </c>
      <c r="R42" s="32" t="s">
        <v>360</v>
      </c>
      <c r="S42" s="36" t="s">
        <v>18</v>
      </c>
    </row>
    <row r="43" spans="1:20" ht="270.75">
      <c r="B43" s="20" t="s">
        <v>86</v>
      </c>
      <c r="C43" s="20" t="s">
        <v>86</v>
      </c>
      <c r="D43" s="20" t="s">
        <v>87</v>
      </c>
      <c r="E43" s="8" t="s">
        <v>88</v>
      </c>
      <c r="F43" s="31" t="s">
        <v>89</v>
      </c>
      <c r="G43" s="31" t="str">
        <f t="shared" si="1"/>
        <v>026-2025</v>
      </c>
      <c r="H43" s="7" t="s">
        <v>41</v>
      </c>
      <c r="I43" s="33">
        <v>18000000</v>
      </c>
      <c r="J43" s="34">
        <v>45737</v>
      </c>
      <c r="K43" s="70">
        <v>46022</v>
      </c>
      <c r="L43" s="35" t="s">
        <v>3</v>
      </c>
      <c r="M43" s="35" t="s">
        <v>2</v>
      </c>
      <c r="N43" s="32" t="s">
        <v>40</v>
      </c>
      <c r="O43" s="33">
        <f>14300000+2650000</f>
        <v>16950000</v>
      </c>
      <c r="P43" s="33">
        <f t="shared" si="0"/>
        <v>1050000</v>
      </c>
      <c r="Q43" s="36" t="s">
        <v>9</v>
      </c>
      <c r="R43" s="32" t="s">
        <v>361</v>
      </c>
      <c r="S43" s="36" t="s">
        <v>18</v>
      </c>
      <c r="T43" s="1" t="s">
        <v>302</v>
      </c>
    </row>
    <row r="44" spans="1:20" ht="270.75">
      <c r="B44" s="20" t="s">
        <v>86</v>
      </c>
      <c r="C44" s="20" t="s">
        <v>86</v>
      </c>
      <c r="D44" s="20" t="s">
        <v>87</v>
      </c>
      <c r="E44" s="8" t="s">
        <v>88</v>
      </c>
      <c r="F44" s="31" t="s">
        <v>89</v>
      </c>
      <c r="G44" s="31" t="str">
        <f t="shared" si="1"/>
        <v>027-2025</v>
      </c>
      <c r="H44" s="7" t="s">
        <v>39</v>
      </c>
      <c r="I44" s="33">
        <v>1127701734.3299999</v>
      </c>
      <c r="J44" s="34">
        <v>45750</v>
      </c>
      <c r="K44" s="34">
        <v>45935</v>
      </c>
      <c r="L44" s="37" t="s">
        <v>14</v>
      </c>
      <c r="M44" s="35" t="s">
        <v>2</v>
      </c>
      <c r="N44" s="32" t="s">
        <v>38</v>
      </c>
      <c r="O44" s="33">
        <v>439527705.80000001</v>
      </c>
      <c r="P44" s="33">
        <f t="shared" si="0"/>
        <v>688174028.52999997</v>
      </c>
      <c r="Q44" s="36" t="s">
        <v>9</v>
      </c>
      <c r="R44" s="32" t="s">
        <v>361</v>
      </c>
      <c r="S44" s="36" t="s">
        <v>5</v>
      </c>
      <c r="T44" s="1" t="s">
        <v>302</v>
      </c>
    </row>
    <row r="45" spans="1:20" ht="270.75">
      <c r="B45" s="20" t="s">
        <v>86</v>
      </c>
      <c r="C45" s="20" t="s">
        <v>86</v>
      </c>
      <c r="D45" s="20" t="s">
        <v>87</v>
      </c>
      <c r="E45" s="8" t="s">
        <v>88</v>
      </c>
      <c r="F45" s="31" t="s">
        <v>89</v>
      </c>
      <c r="G45" s="31" t="str">
        <f t="shared" si="1"/>
        <v>028-2025</v>
      </c>
      <c r="H45" s="7" t="s">
        <v>37</v>
      </c>
      <c r="I45" s="33">
        <v>67356419</v>
      </c>
      <c r="J45" s="34">
        <v>45750</v>
      </c>
      <c r="K45" s="34">
        <v>45935</v>
      </c>
      <c r="L45" s="37" t="s">
        <v>17</v>
      </c>
      <c r="M45" s="35" t="s">
        <v>2</v>
      </c>
      <c r="N45" s="32" t="s">
        <v>36</v>
      </c>
      <c r="O45" s="33">
        <f>26252520+11864183</f>
        <v>38116703</v>
      </c>
      <c r="P45" s="33">
        <f t="shared" si="0"/>
        <v>29239716</v>
      </c>
      <c r="Q45" s="36" t="s">
        <v>9</v>
      </c>
      <c r="R45" s="32" t="s">
        <v>361</v>
      </c>
      <c r="S45" s="36" t="s">
        <v>5</v>
      </c>
      <c r="T45" s="1" t="s">
        <v>302</v>
      </c>
    </row>
    <row r="46" spans="1:20" ht="270.75">
      <c r="B46" s="20" t="s">
        <v>86</v>
      </c>
      <c r="C46" s="20" t="s">
        <v>86</v>
      </c>
      <c r="D46" s="20" t="s">
        <v>87</v>
      </c>
      <c r="E46" s="8" t="s">
        <v>88</v>
      </c>
      <c r="F46" s="31" t="s">
        <v>89</v>
      </c>
      <c r="G46" s="31" t="str">
        <f t="shared" si="1"/>
        <v>029-2025</v>
      </c>
      <c r="H46" s="7" t="s">
        <v>35</v>
      </c>
      <c r="I46" s="33">
        <v>240014614</v>
      </c>
      <c r="J46" s="34">
        <v>45754</v>
      </c>
      <c r="K46" s="34">
        <v>46022</v>
      </c>
      <c r="L46" s="35" t="s">
        <v>3</v>
      </c>
      <c r="M46" s="35" t="s">
        <v>2</v>
      </c>
      <c r="N46" s="32" t="s">
        <v>34</v>
      </c>
      <c r="O46" s="33">
        <f>39075629+54967423+35748787+82476227+24450300</f>
        <v>236718366</v>
      </c>
      <c r="P46" s="33">
        <f t="shared" si="0"/>
        <v>3296248</v>
      </c>
      <c r="Q46" s="36" t="s">
        <v>9</v>
      </c>
      <c r="R46" s="32" t="s">
        <v>361</v>
      </c>
      <c r="S46" s="36" t="s">
        <v>0</v>
      </c>
      <c r="T46" s="1" t="s">
        <v>302</v>
      </c>
    </row>
    <row r="47" spans="1:20" ht="228">
      <c r="B47" s="20" t="s">
        <v>86</v>
      </c>
      <c r="C47" s="20" t="s">
        <v>86</v>
      </c>
      <c r="D47" s="20" t="s">
        <v>87</v>
      </c>
      <c r="E47" s="8" t="s">
        <v>88</v>
      </c>
      <c r="F47" s="31" t="s">
        <v>89</v>
      </c>
      <c r="G47" s="31" t="str">
        <f t="shared" si="1"/>
        <v>030-2025</v>
      </c>
      <c r="H47" s="7" t="s">
        <v>33</v>
      </c>
      <c r="I47" s="33">
        <v>119025732</v>
      </c>
      <c r="J47" s="34">
        <v>45756</v>
      </c>
      <c r="K47" s="34">
        <v>45859</v>
      </c>
      <c r="L47" s="37" t="s">
        <v>14</v>
      </c>
      <c r="M47" s="35" t="s">
        <v>2</v>
      </c>
      <c r="N47" s="32" t="s">
        <v>32</v>
      </c>
      <c r="O47" s="33">
        <v>118653191</v>
      </c>
      <c r="P47" s="33">
        <f t="shared" si="0"/>
        <v>372541</v>
      </c>
      <c r="Q47" s="36" t="s">
        <v>208</v>
      </c>
      <c r="R47" s="32" t="s">
        <v>367</v>
      </c>
      <c r="S47" s="36" t="s">
        <v>5</v>
      </c>
      <c r="T47" s="1" t="s">
        <v>302</v>
      </c>
    </row>
    <row r="48" spans="1:20" ht="270.75">
      <c r="B48" s="20" t="s">
        <v>86</v>
      </c>
      <c r="C48" s="20" t="s">
        <v>86</v>
      </c>
      <c r="D48" s="20" t="s">
        <v>87</v>
      </c>
      <c r="E48" s="8" t="s">
        <v>88</v>
      </c>
      <c r="F48" s="31" t="s">
        <v>89</v>
      </c>
      <c r="G48" s="31" t="str">
        <f t="shared" si="1"/>
        <v>031-2025</v>
      </c>
      <c r="H48" s="7" t="s">
        <v>31</v>
      </c>
      <c r="I48" s="33">
        <v>2570000000</v>
      </c>
      <c r="J48" s="34">
        <v>45758</v>
      </c>
      <c r="K48" s="34">
        <v>46022</v>
      </c>
      <c r="L48" s="35" t="s">
        <v>11</v>
      </c>
      <c r="M48" s="35" t="s">
        <v>2</v>
      </c>
      <c r="N48" s="32" t="s">
        <v>30</v>
      </c>
      <c r="O48" s="33">
        <f>17069991+13946592+14706092+25163741+25141019+27024691+38649703+52433427</f>
        <v>214135256</v>
      </c>
      <c r="P48" s="33">
        <f t="shared" si="0"/>
        <v>2355864744</v>
      </c>
      <c r="Q48" s="36" t="s">
        <v>9</v>
      </c>
      <c r="R48" s="32" t="s">
        <v>361</v>
      </c>
      <c r="S48" s="36" t="s">
        <v>0</v>
      </c>
      <c r="T48" s="1" t="s">
        <v>302</v>
      </c>
    </row>
    <row r="49" spans="2:20" ht="299.25">
      <c r="B49" s="20" t="s">
        <v>86</v>
      </c>
      <c r="C49" s="20" t="s">
        <v>86</v>
      </c>
      <c r="D49" s="20" t="s">
        <v>87</v>
      </c>
      <c r="E49" s="8" t="s">
        <v>88</v>
      </c>
      <c r="F49" s="31" t="s">
        <v>89</v>
      </c>
      <c r="G49" s="31" t="str">
        <f t="shared" si="1"/>
        <v>032-2025</v>
      </c>
      <c r="H49" s="7" t="s">
        <v>29</v>
      </c>
      <c r="I49" s="33">
        <f>190451458+95225730</f>
        <v>285677188</v>
      </c>
      <c r="J49" s="34">
        <v>45761</v>
      </c>
      <c r="K49" s="47">
        <v>45855</v>
      </c>
      <c r="L49" s="35" t="s">
        <v>14</v>
      </c>
      <c r="M49" s="35" t="s">
        <v>2</v>
      </c>
      <c r="N49" s="32" t="s">
        <v>28</v>
      </c>
      <c r="O49" s="33">
        <f>104999999+85180729</f>
        <v>190180728</v>
      </c>
      <c r="P49" s="33">
        <f t="shared" si="0"/>
        <v>95496460</v>
      </c>
      <c r="Q49" s="36" t="s">
        <v>208</v>
      </c>
      <c r="R49" s="32" t="s">
        <v>368</v>
      </c>
      <c r="S49" s="36" t="s">
        <v>5</v>
      </c>
      <c r="T49" s="1" t="s">
        <v>302</v>
      </c>
    </row>
    <row r="50" spans="2:20" ht="270.75">
      <c r="B50" s="20" t="s">
        <v>86</v>
      </c>
      <c r="C50" s="20" t="s">
        <v>86</v>
      </c>
      <c r="D50" s="20" t="s">
        <v>87</v>
      </c>
      <c r="E50" s="8" t="s">
        <v>88</v>
      </c>
      <c r="F50" s="31" t="s">
        <v>89</v>
      </c>
      <c r="G50" s="31" t="str">
        <f t="shared" si="1"/>
        <v>033-2025</v>
      </c>
      <c r="H50" s="7" t="s">
        <v>27</v>
      </c>
      <c r="I50" s="33">
        <v>1132435464.0799999</v>
      </c>
      <c r="J50" s="34">
        <v>45761</v>
      </c>
      <c r="K50" s="34">
        <v>46022</v>
      </c>
      <c r="L50" s="35" t="s">
        <v>3</v>
      </c>
      <c r="M50" s="35" t="s">
        <v>2</v>
      </c>
      <c r="N50" s="32" t="s">
        <v>26</v>
      </c>
      <c r="O50" s="33">
        <f>71010863.49+39693687+105145320+80759536+81880207+144269510+203072999</f>
        <v>725832122.49000001</v>
      </c>
      <c r="P50" s="33">
        <f t="shared" ref="P50:P81" si="2">I50-O50</f>
        <v>406603341.58999991</v>
      </c>
      <c r="Q50" s="36" t="s">
        <v>9</v>
      </c>
      <c r="R50" s="32" t="s">
        <v>361</v>
      </c>
      <c r="S50" s="36" t="s">
        <v>0</v>
      </c>
      <c r="T50" s="1" t="s">
        <v>302</v>
      </c>
    </row>
    <row r="51" spans="2:20" ht="270.75">
      <c r="B51" s="20" t="s">
        <v>86</v>
      </c>
      <c r="C51" s="20" t="s">
        <v>86</v>
      </c>
      <c r="D51" s="20" t="s">
        <v>87</v>
      </c>
      <c r="E51" s="8" t="s">
        <v>88</v>
      </c>
      <c r="F51" s="31" t="s">
        <v>89</v>
      </c>
      <c r="G51" s="31" t="str">
        <f t="shared" si="1"/>
        <v>034-2025</v>
      </c>
      <c r="H51" s="7" t="s">
        <v>12</v>
      </c>
      <c r="I51" s="33">
        <f>274010466+137005233</f>
        <v>411015699</v>
      </c>
      <c r="J51" s="34">
        <v>45762</v>
      </c>
      <c r="K51" s="34">
        <v>46022</v>
      </c>
      <c r="L51" s="35" t="s">
        <v>11</v>
      </c>
      <c r="M51" s="35" t="s">
        <v>2</v>
      </c>
      <c r="N51" s="32" t="s">
        <v>25</v>
      </c>
      <c r="O51" s="33">
        <f>120332991+123600+114525429+46358544</f>
        <v>281340564</v>
      </c>
      <c r="P51" s="33">
        <f t="shared" si="2"/>
        <v>129675135</v>
      </c>
      <c r="Q51" s="36" t="s">
        <v>9</v>
      </c>
      <c r="R51" s="32" t="s">
        <v>361</v>
      </c>
      <c r="S51" s="36" t="s">
        <v>5</v>
      </c>
    </row>
    <row r="52" spans="2:20" ht="270.75">
      <c r="B52" s="20" t="s">
        <v>86</v>
      </c>
      <c r="C52" s="20" t="s">
        <v>86</v>
      </c>
      <c r="D52" s="20" t="s">
        <v>87</v>
      </c>
      <c r="E52" s="8" t="s">
        <v>88</v>
      </c>
      <c r="F52" s="31" t="s">
        <v>89</v>
      </c>
      <c r="G52" s="31" t="str">
        <f t="shared" si="1"/>
        <v>035-2025</v>
      </c>
      <c r="H52" s="7" t="s">
        <v>24</v>
      </c>
      <c r="I52" s="33">
        <v>53516666</v>
      </c>
      <c r="J52" s="34">
        <v>45775</v>
      </c>
      <c r="K52" s="34">
        <v>46022</v>
      </c>
      <c r="L52" s="35" t="s">
        <v>3</v>
      </c>
      <c r="M52" s="35" t="s">
        <v>2</v>
      </c>
      <c r="N52" s="32" t="s">
        <v>23</v>
      </c>
      <c r="O52" s="33">
        <v>14516666</v>
      </c>
      <c r="P52" s="33">
        <f t="shared" si="2"/>
        <v>39000000</v>
      </c>
      <c r="Q52" s="36" t="s">
        <v>9</v>
      </c>
      <c r="R52" s="32" t="s">
        <v>361</v>
      </c>
      <c r="S52" s="36" t="s">
        <v>5</v>
      </c>
    </row>
    <row r="53" spans="2:20" ht="270.75">
      <c r="B53" s="20" t="s">
        <v>86</v>
      </c>
      <c r="C53" s="20" t="s">
        <v>86</v>
      </c>
      <c r="D53" s="20" t="s">
        <v>87</v>
      </c>
      <c r="E53" s="8" t="s">
        <v>88</v>
      </c>
      <c r="F53" s="31" t="s">
        <v>89</v>
      </c>
      <c r="G53" s="31" t="str">
        <f t="shared" si="1"/>
        <v>036-2025</v>
      </c>
      <c r="H53" s="7" t="s">
        <v>22</v>
      </c>
      <c r="I53" s="33">
        <v>2779675050</v>
      </c>
      <c r="J53" s="34">
        <v>45803</v>
      </c>
      <c r="K53" s="34">
        <v>45939</v>
      </c>
      <c r="L53" s="35" t="s">
        <v>14</v>
      </c>
      <c r="M53" s="35" t="s">
        <v>2</v>
      </c>
      <c r="N53" s="32" t="s">
        <v>21</v>
      </c>
      <c r="O53" s="33">
        <f>541406244709+1095574956+277855383</f>
        <v>542779675048</v>
      </c>
      <c r="P53" s="33">
        <f t="shared" si="2"/>
        <v>-539999999998</v>
      </c>
      <c r="Q53" s="36" t="s">
        <v>9</v>
      </c>
      <c r="R53" s="32" t="s">
        <v>361</v>
      </c>
      <c r="S53" s="36" t="s">
        <v>5</v>
      </c>
    </row>
    <row r="54" spans="2:20" ht="270.75">
      <c r="B54" s="20" t="s">
        <v>86</v>
      </c>
      <c r="C54" s="20" t="s">
        <v>86</v>
      </c>
      <c r="D54" s="20" t="s">
        <v>87</v>
      </c>
      <c r="E54" s="8" t="s">
        <v>88</v>
      </c>
      <c r="F54" s="31" t="s">
        <v>89</v>
      </c>
      <c r="G54" s="31" t="str">
        <f t="shared" si="1"/>
        <v>037-2025</v>
      </c>
      <c r="H54" s="7" t="s">
        <v>20</v>
      </c>
      <c r="I54" s="33">
        <v>28000000</v>
      </c>
      <c r="J54" s="34">
        <v>45777</v>
      </c>
      <c r="K54" s="70">
        <v>46022</v>
      </c>
      <c r="L54" s="35" t="s">
        <v>209</v>
      </c>
      <c r="M54" s="35" t="s">
        <v>2</v>
      </c>
      <c r="N54" s="32" t="s">
        <v>19</v>
      </c>
      <c r="O54" s="33">
        <f>2558737+2313520+2428749+2495739+2486228+2525891</f>
        <v>14808864</v>
      </c>
      <c r="P54" s="33">
        <f t="shared" si="2"/>
        <v>13191136</v>
      </c>
      <c r="Q54" s="36" t="s">
        <v>9</v>
      </c>
      <c r="R54" s="32" t="s">
        <v>361</v>
      </c>
      <c r="S54" s="36" t="s">
        <v>18</v>
      </c>
    </row>
    <row r="55" spans="2:20" ht="270.75">
      <c r="B55" s="20" t="s">
        <v>86</v>
      </c>
      <c r="C55" s="20" t="s">
        <v>86</v>
      </c>
      <c r="D55" s="20" t="s">
        <v>87</v>
      </c>
      <c r="E55" s="8" t="s">
        <v>88</v>
      </c>
      <c r="F55" s="31" t="s">
        <v>89</v>
      </c>
      <c r="G55" s="31" t="str">
        <f t="shared" si="1"/>
        <v>038-2025</v>
      </c>
      <c r="H55" s="7" t="s">
        <v>210</v>
      </c>
      <c r="I55" s="33">
        <v>218335250</v>
      </c>
      <c r="J55" s="34">
        <v>45803</v>
      </c>
      <c r="K55" s="34">
        <v>45939</v>
      </c>
      <c r="L55" s="35" t="s">
        <v>17</v>
      </c>
      <c r="M55" s="35" t="s">
        <v>2</v>
      </c>
      <c r="N55" s="32" t="s">
        <v>16</v>
      </c>
      <c r="O55" s="33">
        <f>110457823+86043902</f>
        <v>196501725</v>
      </c>
      <c r="P55" s="33">
        <f t="shared" si="2"/>
        <v>21833525</v>
      </c>
      <c r="Q55" s="36" t="s">
        <v>9</v>
      </c>
      <c r="R55" s="32" t="s">
        <v>361</v>
      </c>
      <c r="S55" s="36" t="s">
        <v>5</v>
      </c>
    </row>
    <row r="56" spans="2:20" ht="270.75">
      <c r="B56" s="20" t="s">
        <v>86</v>
      </c>
      <c r="C56" s="20" t="s">
        <v>86</v>
      </c>
      <c r="D56" s="20" t="s">
        <v>87</v>
      </c>
      <c r="E56" s="8" t="s">
        <v>88</v>
      </c>
      <c r="F56" s="31" t="s">
        <v>89</v>
      </c>
      <c r="G56" s="31" t="str">
        <f t="shared" si="1"/>
        <v>039-2025</v>
      </c>
      <c r="H56" s="7" t="s">
        <v>15</v>
      </c>
      <c r="I56" s="33">
        <v>142855684</v>
      </c>
      <c r="J56" s="34">
        <v>45787</v>
      </c>
      <c r="K56" s="34">
        <v>46022</v>
      </c>
      <c r="L56" s="35" t="s">
        <v>14</v>
      </c>
      <c r="M56" s="35" t="s">
        <v>2</v>
      </c>
      <c r="N56" s="32" t="s">
        <v>13</v>
      </c>
      <c r="O56" s="33"/>
      <c r="P56" s="33">
        <f t="shared" si="2"/>
        <v>142855684</v>
      </c>
      <c r="Q56" s="36" t="s">
        <v>9</v>
      </c>
      <c r="R56" s="32" t="s">
        <v>361</v>
      </c>
      <c r="S56" s="36" t="s">
        <v>5</v>
      </c>
    </row>
    <row r="57" spans="2:20" ht="270.75">
      <c r="B57" s="20" t="s">
        <v>86</v>
      </c>
      <c r="C57" s="20" t="s">
        <v>86</v>
      </c>
      <c r="D57" s="20" t="s">
        <v>87</v>
      </c>
      <c r="E57" s="8" t="s">
        <v>88</v>
      </c>
      <c r="F57" s="31" t="s">
        <v>89</v>
      </c>
      <c r="G57" s="31" t="str">
        <f t="shared" si="1"/>
        <v>040-2025</v>
      </c>
      <c r="H57" s="7" t="s">
        <v>12</v>
      </c>
      <c r="I57" s="33">
        <v>224190381</v>
      </c>
      <c r="J57" s="34">
        <v>45792</v>
      </c>
      <c r="K57" s="34">
        <v>46022</v>
      </c>
      <c r="L57" s="35" t="s">
        <v>11</v>
      </c>
      <c r="M57" s="35" t="s">
        <v>2</v>
      </c>
      <c r="N57" s="32" t="s">
        <v>10</v>
      </c>
      <c r="O57" s="33">
        <f>127891235+60629551+56049796+84499834</f>
        <v>329070416</v>
      </c>
      <c r="P57" s="33">
        <f t="shared" si="2"/>
        <v>-104880035</v>
      </c>
      <c r="Q57" s="36" t="s">
        <v>9</v>
      </c>
      <c r="R57" s="32" t="s">
        <v>361</v>
      </c>
      <c r="S57" s="36" t="s">
        <v>5</v>
      </c>
    </row>
    <row r="58" spans="2:20" ht="270.75">
      <c r="B58" s="20" t="s">
        <v>86</v>
      </c>
      <c r="C58" s="20" t="s">
        <v>86</v>
      </c>
      <c r="D58" s="20" t="s">
        <v>87</v>
      </c>
      <c r="E58" s="8" t="s">
        <v>88</v>
      </c>
      <c r="F58" s="31" t="s">
        <v>89</v>
      </c>
      <c r="G58" s="31" t="str">
        <f t="shared" si="1"/>
        <v>041-2025</v>
      </c>
      <c r="H58" s="7" t="s">
        <v>8</v>
      </c>
      <c r="I58" s="33">
        <v>387956589</v>
      </c>
      <c r="J58" s="34">
        <v>45811</v>
      </c>
      <c r="K58" s="34">
        <v>45961</v>
      </c>
      <c r="L58" s="35" t="s">
        <v>7</v>
      </c>
      <c r="M58" s="35" t="s">
        <v>2</v>
      </c>
      <c r="N58" s="32" t="s">
        <v>6</v>
      </c>
      <c r="O58" s="33"/>
      <c r="P58" s="33">
        <f t="shared" si="2"/>
        <v>387956589</v>
      </c>
      <c r="Q58" s="36" t="s">
        <v>9</v>
      </c>
      <c r="R58" s="32" t="s">
        <v>361</v>
      </c>
      <c r="S58" s="36" t="s">
        <v>5</v>
      </c>
    </row>
    <row r="59" spans="2:20" ht="270.75">
      <c r="B59" s="20" t="s">
        <v>86</v>
      </c>
      <c r="C59" s="20" t="s">
        <v>86</v>
      </c>
      <c r="D59" s="20" t="s">
        <v>87</v>
      </c>
      <c r="E59" s="8" t="s">
        <v>88</v>
      </c>
      <c r="F59" s="31" t="s">
        <v>89</v>
      </c>
      <c r="G59" s="31" t="str">
        <f t="shared" si="1"/>
        <v>042-2025</v>
      </c>
      <c r="H59" s="7" t="s">
        <v>4</v>
      </c>
      <c r="I59" s="33">
        <v>461186886</v>
      </c>
      <c r="J59" s="34">
        <v>45805</v>
      </c>
      <c r="K59" s="34">
        <v>46022</v>
      </c>
      <c r="L59" s="35" t="s">
        <v>3</v>
      </c>
      <c r="M59" s="35" t="s">
        <v>2</v>
      </c>
      <c r="N59" s="32" t="s">
        <v>1</v>
      </c>
      <c r="O59" s="33">
        <f>41932606+28314390+3299170+74986200+89507340</f>
        <v>238039706</v>
      </c>
      <c r="P59" s="33">
        <f t="shared" si="2"/>
        <v>223147180</v>
      </c>
      <c r="Q59" s="36" t="s">
        <v>9</v>
      </c>
      <c r="R59" s="32" t="s">
        <v>361</v>
      </c>
      <c r="S59" s="36" t="s">
        <v>0</v>
      </c>
    </row>
    <row r="60" spans="2:20" ht="270.75">
      <c r="B60" s="20" t="s">
        <v>86</v>
      </c>
      <c r="C60" s="20" t="s">
        <v>86</v>
      </c>
      <c r="D60" s="20" t="s">
        <v>87</v>
      </c>
      <c r="E60" s="8" t="s">
        <v>88</v>
      </c>
      <c r="F60" s="31" t="s">
        <v>89</v>
      </c>
      <c r="G60" s="31" t="str">
        <f t="shared" si="1"/>
        <v>043-2025</v>
      </c>
      <c r="H60" s="32" t="s">
        <v>164</v>
      </c>
      <c r="I60" s="33">
        <f>47054060+5804633</f>
        <v>52858693</v>
      </c>
      <c r="J60" s="34">
        <v>45806</v>
      </c>
      <c r="K60" s="70">
        <v>45899</v>
      </c>
      <c r="L60" s="35" t="s">
        <v>3</v>
      </c>
      <c r="M60" s="35" t="s">
        <v>2</v>
      </c>
      <c r="N60" s="32" t="s">
        <v>165</v>
      </c>
      <c r="O60" s="33">
        <f>43586455+9272238</f>
        <v>52858693</v>
      </c>
      <c r="P60" s="33">
        <f t="shared" si="2"/>
        <v>0</v>
      </c>
      <c r="Q60" s="36" t="s">
        <v>9</v>
      </c>
      <c r="R60" s="32" t="s">
        <v>361</v>
      </c>
      <c r="S60" s="36" t="s">
        <v>18</v>
      </c>
    </row>
    <row r="61" spans="2:20" s="30" customFormat="1" ht="270.75">
      <c r="B61" s="20" t="s">
        <v>86</v>
      </c>
      <c r="C61" s="20" t="s">
        <v>86</v>
      </c>
      <c r="D61" s="20" t="s">
        <v>87</v>
      </c>
      <c r="E61" s="8" t="s">
        <v>88</v>
      </c>
      <c r="F61" s="31" t="s">
        <v>89</v>
      </c>
      <c r="G61" s="31" t="str">
        <f t="shared" si="1"/>
        <v>044-2025</v>
      </c>
      <c r="H61" s="32" t="s">
        <v>166</v>
      </c>
      <c r="I61" s="33">
        <v>401001440</v>
      </c>
      <c r="J61" s="34">
        <v>45824</v>
      </c>
      <c r="K61" s="34">
        <v>45961</v>
      </c>
      <c r="L61" s="35" t="s">
        <v>7</v>
      </c>
      <c r="M61" s="35" t="s">
        <v>2</v>
      </c>
      <c r="N61" s="32" t="s">
        <v>167</v>
      </c>
      <c r="O61" s="33">
        <f>75951750+86486820+127110445</f>
        <v>289549015</v>
      </c>
      <c r="P61" s="33">
        <f t="shared" si="2"/>
        <v>111452425</v>
      </c>
      <c r="Q61" s="36" t="s">
        <v>9</v>
      </c>
      <c r="R61" s="32" t="s">
        <v>361</v>
      </c>
      <c r="S61" s="36" t="s">
        <v>5</v>
      </c>
    </row>
    <row r="62" spans="2:20" ht="185.25">
      <c r="B62" s="20" t="s">
        <v>86</v>
      </c>
      <c r="C62" s="20" t="s">
        <v>86</v>
      </c>
      <c r="D62" s="20" t="s">
        <v>87</v>
      </c>
      <c r="E62" s="8" t="s">
        <v>88</v>
      </c>
      <c r="F62" s="31" t="s">
        <v>89</v>
      </c>
      <c r="G62" s="31" t="str">
        <f t="shared" si="1"/>
        <v>045-2025</v>
      </c>
      <c r="H62" s="32" t="s">
        <v>168</v>
      </c>
      <c r="I62" s="33">
        <f>309147771+9083837</f>
        <v>318231608</v>
      </c>
      <c r="J62" s="34">
        <v>45826</v>
      </c>
      <c r="K62" s="34">
        <v>46022</v>
      </c>
      <c r="L62" s="35" t="s">
        <v>3</v>
      </c>
      <c r="M62" s="35" t="s">
        <v>2</v>
      </c>
      <c r="N62" s="32" t="s">
        <v>169</v>
      </c>
      <c r="O62" s="33">
        <f>68751938+30292850+41600650+80360000+97226170</f>
        <v>318231608</v>
      </c>
      <c r="P62" s="33">
        <f t="shared" si="2"/>
        <v>0</v>
      </c>
      <c r="Q62" s="36" t="s">
        <v>208</v>
      </c>
      <c r="R62" s="32" t="s">
        <v>350</v>
      </c>
      <c r="S62" s="36" t="s">
        <v>0</v>
      </c>
    </row>
    <row r="63" spans="2:20" ht="185.25">
      <c r="B63" s="20" t="s">
        <v>86</v>
      </c>
      <c r="C63" s="20" t="s">
        <v>86</v>
      </c>
      <c r="D63" s="20" t="s">
        <v>87</v>
      </c>
      <c r="E63" s="8" t="s">
        <v>88</v>
      </c>
      <c r="F63" s="31" t="s">
        <v>89</v>
      </c>
      <c r="G63" s="31" t="str">
        <f t="shared" si="1"/>
        <v>046-2025</v>
      </c>
      <c r="H63" s="32" t="s">
        <v>170</v>
      </c>
      <c r="I63" s="33">
        <v>41047500</v>
      </c>
      <c r="J63" s="34">
        <v>45839</v>
      </c>
      <c r="K63" s="70">
        <v>46022</v>
      </c>
      <c r="L63" s="35" t="s">
        <v>3</v>
      </c>
      <c r="M63" s="35" t="s">
        <v>2</v>
      </c>
      <c r="N63" s="32" t="s">
        <v>171</v>
      </c>
      <c r="O63" s="33">
        <f>6841250*6</f>
        <v>41047500</v>
      </c>
      <c r="P63" s="33">
        <f t="shared" si="2"/>
        <v>0</v>
      </c>
      <c r="Q63" s="36" t="s">
        <v>208</v>
      </c>
      <c r="R63" s="32" t="s">
        <v>350</v>
      </c>
      <c r="S63" s="36" t="s">
        <v>18</v>
      </c>
    </row>
    <row r="64" spans="2:20" ht="185.25">
      <c r="B64" s="20" t="s">
        <v>86</v>
      </c>
      <c r="C64" s="20" t="s">
        <v>86</v>
      </c>
      <c r="D64" s="20" t="s">
        <v>87</v>
      </c>
      <c r="E64" s="8" t="s">
        <v>88</v>
      </c>
      <c r="F64" s="31" t="s">
        <v>89</v>
      </c>
      <c r="G64" s="31" t="str">
        <f t="shared" si="1"/>
        <v>047-2025</v>
      </c>
      <c r="H64" s="32" t="s">
        <v>104</v>
      </c>
      <c r="I64" s="33">
        <v>32522250</v>
      </c>
      <c r="J64" s="34">
        <v>45839</v>
      </c>
      <c r="K64" s="70">
        <v>46022</v>
      </c>
      <c r="L64" s="35" t="s">
        <v>3</v>
      </c>
      <c r="M64" s="35" t="s">
        <v>2</v>
      </c>
      <c r="N64" s="32" t="s">
        <v>172</v>
      </c>
      <c r="O64" s="33">
        <f>5420375*6</f>
        <v>32522250</v>
      </c>
      <c r="P64" s="33">
        <f t="shared" si="2"/>
        <v>0</v>
      </c>
      <c r="Q64" s="36" t="s">
        <v>208</v>
      </c>
      <c r="R64" s="32" t="s">
        <v>350</v>
      </c>
      <c r="S64" s="36" t="s">
        <v>18</v>
      </c>
    </row>
    <row r="65" spans="2:19" ht="256.5">
      <c r="B65" s="20" t="s">
        <v>86</v>
      </c>
      <c r="C65" s="20" t="s">
        <v>86</v>
      </c>
      <c r="D65" s="20" t="s">
        <v>87</v>
      </c>
      <c r="E65" s="8" t="s">
        <v>88</v>
      </c>
      <c r="F65" s="31" t="s">
        <v>89</v>
      </c>
      <c r="G65" s="31" t="str">
        <f t="shared" si="1"/>
        <v>048-2025</v>
      </c>
      <c r="H65" s="32" t="s">
        <v>173</v>
      </c>
      <c r="I65" s="33">
        <v>9005171255</v>
      </c>
      <c r="J65" s="34">
        <v>45848</v>
      </c>
      <c r="K65" s="34">
        <v>46151</v>
      </c>
      <c r="L65" s="35" t="s">
        <v>14</v>
      </c>
      <c r="M65" s="35" t="s">
        <v>2</v>
      </c>
      <c r="N65" s="32" t="s">
        <v>174</v>
      </c>
      <c r="O65" s="33">
        <f>732356.012+1454839930</f>
        <v>1455572286.0120001</v>
      </c>
      <c r="P65" s="33">
        <f t="shared" si="2"/>
        <v>7549598968.9879999</v>
      </c>
      <c r="Q65" s="36" t="s">
        <v>9</v>
      </c>
      <c r="R65" s="32" t="s">
        <v>373</v>
      </c>
      <c r="S65" s="36" t="s">
        <v>5</v>
      </c>
    </row>
    <row r="66" spans="2:19" ht="185.25">
      <c r="B66" s="20" t="s">
        <v>86</v>
      </c>
      <c r="C66" s="20" t="s">
        <v>86</v>
      </c>
      <c r="D66" s="20" t="s">
        <v>87</v>
      </c>
      <c r="E66" s="8" t="s">
        <v>88</v>
      </c>
      <c r="F66" s="31" t="s">
        <v>89</v>
      </c>
      <c r="G66" s="31" t="str">
        <f t="shared" si="1"/>
        <v>049-2025</v>
      </c>
      <c r="H66" s="32" t="s">
        <v>175</v>
      </c>
      <c r="I66" s="33">
        <v>24000000</v>
      </c>
      <c r="J66" s="34">
        <v>45839</v>
      </c>
      <c r="K66" s="70">
        <v>46022</v>
      </c>
      <c r="L66" s="35" t="s">
        <v>3</v>
      </c>
      <c r="M66" s="35" t="s">
        <v>2</v>
      </c>
      <c r="N66" s="32" t="s">
        <v>176</v>
      </c>
      <c r="O66" s="33">
        <f>4000000*6</f>
        <v>24000000</v>
      </c>
      <c r="P66" s="33">
        <f t="shared" si="2"/>
        <v>0</v>
      </c>
      <c r="Q66" s="36" t="s">
        <v>208</v>
      </c>
      <c r="R66" s="32" t="s">
        <v>350</v>
      </c>
      <c r="S66" s="36" t="s">
        <v>18</v>
      </c>
    </row>
    <row r="67" spans="2:19" ht="185.25">
      <c r="B67" s="20" t="s">
        <v>86</v>
      </c>
      <c r="C67" s="20" t="s">
        <v>86</v>
      </c>
      <c r="D67" s="20" t="s">
        <v>87</v>
      </c>
      <c r="E67" s="8" t="s">
        <v>88</v>
      </c>
      <c r="F67" s="31" t="s">
        <v>89</v>
      </c>
      <c r="G67" s="31" t="str">
        <f t="shared" si="1"/>
        <v>050-2025</v>
      </c>
      <c r="H67" s="32" t="s">
        <v>177</v>
      </c>
      <c r="I67" s="33">
        <v>14496714</v>
      </c>
      <c r="J67" s="34">
        <v>45841</v>
      </c>
      <c r="K67" s="70">
        <v>46022</v>
      </c>
      <c r="L67" s="35" t="s">
        <v>3</v>
      </c>
      <c r="M67" s="35" t="s">
        <v>2</v>
      </c>
      <c r="N67" s="32" t="s">
        <v>178</v>
      </c>
      <c r="O67" s="33">
        <f>2416119*6</f>
        <v>14496714</v>
      </c>
      <c r="P67" s="33">
        <f t="shared" si="2"/>
        <v>0</v>
      </c>
      <c r="Q67" s="36" t="s">
        <v>208</v>
      </c>
      <c r="R67" s="32" t="s">
        <v>350</v>
      </c>
      <c r="S67" s="36" t="s">
        <v>18</v>
      </c>
    </row>
    <row r="68" spans="2:19" ht="185.25">
      <c r="B68" s="20" t="s">
        <v>86</v>
      </c>
      <c r="C68" s="20" t="s">
        <v>86</v>
      </c>
      <c r="D68" s="20" t="s">
        <v>87</v>
      </c>
      <c r="E68" s="8" t="s">
        <v>88</v>
      </c>
      <c r="F68" s="31" t="s">
        <v>89</v>
      </c>
      <c r="G68" s="31" t="str">
        <f t="shared" si="1"/>
        <v>051-2025</v>
      </c>
      <c r="H68" s="32" t="s">
        <v>179</v>
      </c>
      <c r="I68" s="33">
        <v>29731020</v>
      </c>
      <c r="J68" s="34">
        <v>45841</v>
      </c>
      <c r="K68" s="70">
        <v>46022</v>
      </c>
      <c r="L68" s="35" t="s">
        <v>3</v>
      </c>
      <c r="M68" s="35" t="s">
        <v>2</v>
      </c>
      <c r="N68" s="32" t="s">
        <v>180</v>
      </c>
      <c r="O68" s="33">
        <f>4955170*6</f>
        <v>29731020</v>
      </c>
      <c r="P68" s="33">
        <f t="shared" si="2"/>
        <v>0</v>
      </c>
      <c r="Q68" s="36" t="s">
        <v>208</v>
      </c>
      <c r="R68" s="32" t="s">
        <v>350</v>
      </c>
      <c r="S68" s="36" t="s">
        <v>18</v>
      </c>
    </row>
    <row r="69" spans="2:19" ht="256.5">
      <c r="B69" s="20" t="s">
        <v>86</v>
      </c>
      <c r="C69" s="20" t="s">
        <v>86</v>
      </c>
      <c r="D69" s="20" t="s">
        <v>87</v>
      </c>
      <c r="E69" s="8" t="s">
        <v>88</v>
      </c>
      <c r="F69" s="31" t="s">
        <v>89</v>
      </c>
      <c r="G69" s="31" t="str">
        <f t="shared" si="1"/>
        <v>052-2025</v>
      </c>
      <c r="H69" s="32" t="s">
        <v>181</v>
      </c>
      <c r="I69" s="33">
        <v>896878924</v>
      </c>
      <c r="J69" s="34">
        <v>45847</v>
      </c>
      <c r="K69" s="34">
        <v>45961</v>
      </c>
      <c r="L69" s="35" t="s">
        <v>14</v>
      </c>
      <c r="M69" s="35" t="s">
        <v>2</v>
      </c>
      <c r="N69" s="32" t="s">
        <v>182</v>
      </c>
      <c r="O69" s="33">
        <f>418222449+170044139</f>
        <v>588266588</v>
      </c>
      <c r="P69" s="33">
        <f t="shared" si="2"/>
        <v>308612336</v>
      </c>
      <c r="Q69" s="36" t="s">
        <v>9</v>
      </c>
      <c r="R69" s="32" t="s">
        <v>373</v>
      </c>
      <c r="S69" s="36" t="s">
        <v>5</v>
      </c>
    </row>
    <row r="70" spans="2:19" ht="256.5">
      <c r="B70" s="20" t="s">
        <v>86</v>
      </c>
      <c r="C70" s="20" t="s">
        <v>86</v>
      </c>
      <c r="D70" s="20" t="s">
        <v>87</v>
      </c>
      <c r="E70" s="8" t="s">
        <v>88</v>
      </c>
      <c r="F70" s="31" t="s">
        <v>89</v>
      </c>
      <c r="G70" s="31" t="str">
        <f t="shared" si="1"/>
        <v>053-2025</v>
      </c>
      <c r="H70" s="32" t="s">
        <v>183</v>
      </c>
      <c r="I70" s="33">
        <v>55502028</v>
      </c>
      <c r="J70" s="34">
        <v>45847</v>
      </c>
      <c r="K70" s="34">
        <v>45961</v>
      </c>
      <c r="L70" s="35" t="s">
        <v>17</v>
      </c>
      <c r="M70" s="35" t="s">
        <v>2</v>
      </c>
      <c r="N70" s="32" t="s">
        <v>184</v>
      </c>
      <c r="O70" s="33">
        <v>25881079.140000001</v>
      </c>
      <c r="P70" s="33">
        <f t="shared" si="2"/>
        <v>29620948.859999999</v>
      </c>
      <c r="Q70" s="36" t="s">
        <v>9</v>
      </c>
      <c r="R70" s="32" t="s">
        <v>373</v>
      </c>
      <c r="S70" s="36" t="s">
        <v>5</v>
      </c>
    </row>
    <row r="71" spans="2:19" ht="256.5">
      <c r="B71" s="20" t="s">
        <v>86</v>
      </c>
      <c r="C71" s="20" t="s">
        <v>86</v>
      </c>
      <c r="D71" s="20" t="s">
        <v>87</v>
      </c>
      <c r="E71" s="8" t="s">
        <v>88</v>
      </c>
      <c r="F71" s="31" t="s">
        <v>89</v>
      </c>
      <c r="G71" s="31" t="str">
        <f t="shared" si="1"/>
        <v>054-2025</v>
      </c>
      <c r="H71" s="32" t="s">
        <v>185</v>
      </c>
      <c r="I71" s="33">
        <v>1039500099</v>
      </c>
      <c r="J71" s="34">
        <v>45847</v>
      </c>
      <c r="K71" s="34">
        <v>46022</v>
      </c>
      <c r="L71" s="35" t="s">
        <v>14</v>
      </c>
      <c r="M71" s="35" t="s">
        <v>2</v>
      </c>
      <c r="N71" s="32" t="s">
        <v>186</v>
      </c>
      <c r="O71" s="33">
        <f>139752220.06+139752220.06+385990525.15</f>
        <v>665494965.26999998</v>
      </c>
      <c r="P71" s="33">
        <f t="shared" si="2"/>
        <v>374005133.73000002</v>
      </c>
      <c r="Q71" s="36" t="s">
        <v>9</v>
      </c>
      <c r="R71" s="32" t="s">
        <v>373</v>
      </c>
      <c r="S71" s="36" t="s">
        <v>5</v>
      </c>
    </row>
    <row r="72" spans="2:19" ht="256.5">
      <c r="B72" s="20" t="s">
        <v>86</v>
      </c>
      <c r="C72" s="20" t="s">
        <v>86</v>
      </c>
      <c r="D72" s="20" t="s">
        <v>87</v>
      </c>
      <c r="E72" s="8" t="s">
        <v>88</v>
      </c>
      <c r="F72" s="31" t="s">
        <v>89</v>
      </c>
      <c r="G72" s="31" t="str">
        <f t="shared" si="1"/>
        <v>055-2025</v>
      </c>
      <c r="H72" s="32" t="s">
        <v>187</v>
      </c>
      <c r="I72" s="33">
        <v>1171401627</v>
      </c>
      <c r="J72" s="34">
        <v>45847</v>
      </c>
      <c r="K72" s="34">
        <v>46022</v>
      </c>
      <c r="L72" s="35" t="s">
        <v>14</v>
      </c>
      <c r="M72" s="35" t="s">
        <v>2</v>
      </c>
      <c r="N72" s="32" t="s">
        <v>188</v>
      </c>
      <c r="O72" s="33">
        <f>301978133+182288043+234904005</f>
        <v>719170181</v>
      </c>
      <c r="P72" s="33">
        <f t="shared" si="2"/>
        <v>452231446</v>
      </c>
      <c r="Q72" s="36" t="s">
        <v>9</v>
      </c>
      <c r="R72" s="32" t="s">
        <v>373</v>
      </c>
      <c r="S72" s="36" t="s">
        <v>5</v>
      </c>
    </row>
    <row r="73" spans="2:19" ht="256.5">
      <c r="B73" s="20" t="s">
        <v>86</v>
      </c>
      <c r="C73" s="20" t="s">
        <v>86</v>
      </c>
      <c r="D73" s="20" t="s">
        <v>87</v>
      </c>
      <c r="E73" s="8" t="s">
        <v>88</v>
      </c>
      <c r="F73" s="31" t="s">
        <v>89</v>
      </c>
      <c r="G73" s="31" t="str">
        <f t="shared" si="1"/>
        <v>056-2025</v>
      </c>
      <c r="H73" s="32" t="s">
        <v>189</v>
      </c>
      <c r="I73" s="33">
        <v>139245716.30000001</v>
      </c>
      <c r="J73" s="34">
        <v>45847</v>
      </c>
      <c r="K73" s="34">
        <v>46022</v>
      </c>
      <c r="L73" s="35" t="s">
        <v>17</v>
      </c>
      <c r="M73" s="35" t="s">
        <v>2</v>
      </c>
      <c r="N73" s="32" t="s">
        <v>190</v>
      </c>
      <c r="O73" s="33">
        <f>19019009.67+27835767.58+8801792.41+14794586.43+11847504.06+24310229.02</f>
        <v>106608889.17</v>
      </c>
      <c r="P73" s="33">
        <f t="shared" si="2"/>
        <v>32636827.13000001</v>
      </c>
      <c r="Q73" s="36" t="s">
        <v>9</v>
      </c>
      <c r="R73" s="32" t="s">
        <v>373</v>
      </c>
      <c r="S73" s="36" t="s">
        <v>5</v>
      </c>
    </row>
    <row r="74" spans="2:19" ht="256.5">
      <c r="B74" s="20" t="s">
        <v>86</v>
      </c>
      <c r="C74" s="20" t="s">
        <v>86</v>
      </c>
      <c r="D74" s="20" t="s">
        <v>87</v>
      </c>
      <c r="E74" s="8" t="s">
        <v>88</v>
      </c>
      <c r="F74" s="31" t="s">
        <v>89</v>
      </c>
      <c r="G74" s="31" t="str">
        <f t="shared" si="1"/>
        <v>057-2025</v>
      </c>
      <c r="H74" s="32" t="s">
        <v>191</v>
      </c>
      <c r="I74" s="33">
        <v>594354187</v>
      </c>
      <c r="J74" s="34">
        <v>45848</v>
      </c>
      <c r="K74" s="34">
        <v>45879</v>
      </c>
      <c r="L74" s="35" t="s">
        <v>17</v>
      </c>
      <c r="M74" s="35" t="s">
        <v>2</v>
      </c>
      <c r="N74" s="32" t="s">
        <v>192</v>
      </c>
      <c r="O74" s="33">
        <f>62464736.25</f>
        <v>62464736.25</v>
      </c>
      <c r="P74" s="33">
        <f t="shared" si="2"/>
        <v>531889450.75</v>
      </c>
      <c r="Q74" s="36" t="s">
        <v>9</v>
      </c>
      <c r="R74" s="32" t="s">
        <v>373</v>
      </c>
      <c r="S74" s="36" t="s">
        <v>5</v>
      </c>
    </row>
    <row r="75" spans="2:19" ht="256.5">
      <c r="B75" s="20" t="s">
        <v>86</v>
      </c>
      <c r="C75" s="20" t="s">
        <v>86</v>
      </c>
      <c r="D75" s="20" t="s">
        <v>87</v>
      </c>
      <c r="E75" s="8" t="s">
        <v>88</v>
      </c>
      <c r="F75" s="31" t="s">
        <v>89</v>
      </c>
      <c r="G75" s="31" t="str">
        <f t="shared" si="1"/>
        <v>058-2025</v>
      </c>
      <c r="H75" s="32" t="s">
        <v>193</v>
      </c>
      <c r="I75" s="33">
        <v>143764790</v>
      </c>
      <c r="J75" s="34">
        <v>45849</v>
      </c>
      <c r="K75" s="34">
        <v>45910</v>
      </c>
      <c r="L75" s="35" t="s">
        <v>14</v>
      </c>
      <c r="M75" s="35" t="s">
        <v>2</v>
      </c>
      <c r="N75" s="32" t="s">
        <v>194</v>
      </c>
      <c r="O75" s="33">
        <f>90663668</f>
        <v>90663668</v>
      </c>
      <c r="P75" s="33">
        <f t="shared" si="2"/>
        <v>53101122</v>
      </c>
      <c r="Q75" s="36" t="s">
        <v>9</v>
      </c>
      <c r="R75" s="32" t="s">
        <v>373</v>
      </c>
      <c r="S75" s="36" t="s">
        <v>5</v>
      </c>
    </row>
    <row r="76" spans="2:19" ht="185.25">
      <c r="B76" s="20" t="s">
        <v>86</v>
      </c>
      <c r="C76" s="20" t="s">
        <v>86</v>
      </c>
      <c r="D76" s="20" t="s">
        <v>87</v>
      </c>
      <c r="E76" s="8" t="s">
        <v>88</v>
      </c>
      <c r="F76" s="31" t="s">
        <v>89</v>
      </c>
      <c r="G76" s="31" t="str">
        <f t="shared" si="1"/>
        <v>059-2025</v>
      </c>
      <c r="H76" s="44" t="s">
        <v>195</v>
      </c>
      <c r="I76" s="33">
        <v>15000000</v>
      </c>
      <c r="J76" s="34">
        <v>45854</v>
      </c>
      <c r="K76" s="70">
        <v>45915</v>
      </c>
      <c r="L76" s="35" t="s">
        <v>3</v>
      </c>
      <c r="M76" s="35" t="s">
        <v>2</v>
      </c>
      <c r="N76" s="45" t="s">
        <v>196</v>
      </c>
      <c r="O76" s="33">
        <v>15000000</v>
      </c>
      <c r="P76" s="33">
        <f t="shared" si="2"/>
        <v>0</v>
      </c>
      <c r="Q76" s="36" t="s">
        <v>208</v>
      </c>
      <c r="R76" s="32" t="s">
        <v>350</v>
      </c>
      <c r="S76" s="36" t="s">
        <v>18</v>
      </c>
    </row>
    <row r="77" spans="2:19" ht="185.25">
      <c r="B77" s="20" t="s">
        <v>86</v>
      </c>
      <c r="C77" s="20" t="s">
        <v>86</v>
      </c>
      <c r="D77" s="20" t="s">
        <v>87</v>
      </c>
      <c r="E77" s="8" t="s">
        <v>88</v>
      </c>
      <c r="F77" s="31" t="s">
        <v>89</v>
      </c>
      <c r="G77" s="31" t="str">
        <f t="shared" si="1"/>
        <v>060-2025</v>
      </c>
      <c r="H77" s="32" t="s">
        <v>197</v>
      </c>
      <c r="I77" s="33">
        <v>16772880</v>
      </c>
      <c r="J77" s="34">
        <v>45853</v>
      </c>
      <c r="K77" s="70">
        <v>46022</v>
      </c>
      <c r="L77" s="35" t="s">
        <v>3</v>
      </c>
      <c r="M77" s="35" t="s">
        <v>2</v>
      </c>
      <c r="N77" s="32" t="s">
        <v>198</v>
      </c>
      <c r="O77" s="33">
        <f>2795480*6</f>
        <v>16772880</v>
      </c>
      <c r="P77" s="33">
        <f t="shared" si="2"/>
        <v>0</v>
      </c>
      <c r="Q77" s="36" t="s">
        <v>208</v>
      </c>
      <c r="R77" s="32" t="s">
        <v>350</v>
      </c>
      <c r="S77" s="36" t="s">
        <v>18</v>
      </c>
    </row>
    <row r="78" spans="2:19" ht="185.25">
      <c r="B78" s="20" t="s">
        <v>86</v>
      </c>
      <c r="C78" s="20" t="s">
        <v>86</v>
      </c>
      <c r="D78" s="20" t="s">
        <v>87</v>
      </c>
      <c r="E78" s="8" t="s">
        <v>88</v>
      </c>
      <c r="F78" s="31" t="s">
        <v>89</v>
      </c>
      <c r="G78" s="31" t="str">
        <f t="shared" si="1"/>
        <v>061-2025</v>
      </c>
      <c r="H78" s="32" t="s">
        <v>199</v>
      </c>
      <c r="I78" s="33">
        <v>22923450</v>
      </c>
      <c r="J78" s="34">
        <v>45854</v>
      </c>
      <c r="K78" s="70">
        <v>46022</v>
      </c>
      <c r="L78" s="35" t="s">
        <v>3</v>
      </c>
      <c r="M78" s="35" t="s">
        <v>2</v>
      </c>
      <c r="N78" s="32" t="s">
        <v>200</v>
      </c>
      <c r="O78" s="33">
        <f>3820575*6</f>
        <v>22923450</v>
      </c>
      <c r="P78" s="33">
        <f t="shared" si="2"/>
        <v>0</v>
      </c>
      <c r="Q78" s="36" t="s">
        <v>208</v>
      </c>
      <c r="R78" s="32" t="s">
        <v>350</v>
      </c>
      <c r="S78" s="36" t="s">
        <v>18</v>
      </c>
    </row>
    <row r="79" spans="2:19" ht="185.25">
      <c r="B79" s="20" t="s">
        <v>86</v>
      </c>
      <c r="C79" s="20" t="s">
        <v>86</v>
      </c>
      <c r="D79" s="20" t="s">
        <v>87</v>
      </c>
      <c r="E79" s="8" t="s">
        <v>88</v>
      </c>
      <c r="F79" s="31" t="s">
        <v>89</v>
      </c>
      <c r="G79" s="31" t="str">
        <f t="shared" si="1"/>
        <v>062-2025</v>
      </c>
      <c r="H79" s="32" t="s">
        <v>201</v>
      </c>
      <c r="I79" s="33">
        <v>16772880</v>
      </c>
      <c r="J79" s="34">
        <v>45823</v>
      </c>
      <c r="K79" s="70">
        <v>46022</v>
      </c>
      <c r="L79" s="35" t="s">
        <v>3</v>
      </c>
      <c r="M79" s="35" t="s">
        <v>2</v>
      </c>
      <c r="N79" s="32" t="s">
        <v>202</v>
      </c>
      <c r="O79" s="33" t="s">
        <v>345</v>
      </c>
      <c r="P79" s="33" t="e">
        <f t="shared" si="2"/>
        <v>#VALUE!</v>
      </c>
      <c r="Q79" s="36" t="s">
        <v>208</v>
      </c>
      <c r="R79" s="32" t="s">
        <v>350</v>
      </c>
      <c r="S79" s="36" t="s">
        <v>18</v>
      </c>
    </row>
    <row r="80" spans="2:19" ht="185.25">
      <c r="B80" s="20" t="s">
        <v>86</v>
      </c>
      <c r="C80" s="20" t="s">
        <v>86</v>
      </c>
      <c r="D80" s="20" t="s">
        <v>87</v>
      </c>
      <c r="E80" s="8" t="s">
        <v>88</v>
      </c>
      <c r="F80" s="31" t="s">
        <v>89</v>
      </c>
      <c r="G80" s="31" t="str">
        <f t="shared" si="1"/>
        <v>063-2025</v>
      </c>
      <c r="H80" s="32" t="s">
        <v>203</v>
      </c>
      <c r="I80" s="33">
        <v>20400000</v>
      </c>
      <c r="J80" s="34">
        <v>45853</v>
      </c>
      <c r="K80" s="70">
        <v>46022</v>
      </c>
      <c r="L80" s="35" t="s">
        <v>3</v>
      </c>
      <c r="M80" s="35" t="s">
        <v>2</v>
      </c>
      <c r="N80" s="32" t="s">
        <v>204</v>
      </c>
      <c r="O80" s="33">
        <f>3400000*6</f>
        <v>20400000</v>
      </c>
      <c r="P80" s="33">
        <f t="shared" si="2"/>
        <v>0</v>
      </c>
      <c r="Q80" s="36" t="s">
        <v>208</v>
      </c>
      <c r="R80" s="32" t="s">
        <v>350</v>
      </c>
      <c r="S80" s="36" t="s">
        <v>18</v>
      </c>
    </row>
    <row r="81" spans="1:20" ht="256.5">
      <c r="B81" s="20" t="s">
        <v>86</v>
      </c>
      <c r="C81" s="20" t="s">
        <v>86</v>
      </c>
      <c r="D81" s="20" t="s">
        <v>87</v>
      </c>
      <c r="E81" s="8" t="s">
        <v>88</v>
      </c>
      <c r="F81" s="40" t="s">
        <v>89</v>
      </c>
      <c r="G81" s="40" t="str">
        <f t="shared" si="1"/>
        <v>064-2025</v>
      </c>
      <c r="H81" s="32" t="s">
        <v>205</v>
      </c>
      <c r="I81" s="33">
        <v>50079948</v>
      </c>
      <c r="J81" s="34">
        <v>45863</v>
      </c>
      <c r="K81" s="34">
        <v>45893</v>
      </c>
      <c r="L81" s="35" t="s">
        <v>14</v>
      </c>
      <c r="M81" s="35" t="s">
        <v>2</v>
      </c>
      <c r="N81" s="32" t="s">
        <v>206</v>
      </c>
      <c r="O81" s="33">
        <f>17998318+5312410</f>
        <v>23310728</v>
      </c>
      <c r="P81" s="33">
        <f t="shared" si="2"/>
        <v>26769220</v>
      </c>
      <c r="Q81" s="36" t="s">
        <v>9</v>
      </c>
      <c r="R81" s="32" t="s">
        <v>373</v>
      </c>
      <c r="S81" s="36" t="s">
        <v>5</v>
      </c>
    </row>
    <row r="82" spans="1:20" ht="185.25">
      <c r="A82" s="29"/>
      <c r="B82" s="20" t="s">
        <v>86</v>
      </c>
      <c r="C82" s="20" t="s">
        <v>86</v>
      </c>
      <c r="D82" s="20" t="s">
        <v>87</v>
      </c>
      <c r="E82" s="8" t="s">
        <v>88</v>
      </c>
      <c r="F82" s="40" t="s">
        <v>89</v>
      </c>
      <c r="G82" s="40" t="str">
        <f>TEXT(ROW(A65),"000")&amp;"-2025"</f>
        <v>065-2025</v>
      </c>
      <c r="H82" s="32" t="s">
        <v>211</v>
      </c>
      <c r="I82" s="33">
        <v>283926840</v>
      </c>
      <c r="J82" s="34">
        <v>45883</v>
      </c>
      <c r="K82" s="34">
        <v>45961</v>
      </c>
      <c r="L82" s="35" t="s">
        <v>14</v>
      </c>
      <c r="M82" s="35" t="s">
        <v>2</v>
      </c>
      <c r="N82" s="32" t="s">
        <v>212</v>
      </c>
      <c r="O82" s="33">
        <v>283926840</v>
      </c>
      <c r="P82" s="33">
        <f t="shared" ref="P82:P113" si="3">I82-O82</f>
        <v>0</v>
      </c>
      <c r="Q82" s="36" t="s">
        <v>208</v>
      </c>
      <c r="R82" s="32" t="s">
        <v>350</v>
      </c>
      <c r="S82" s="32" t="s">
        <v>5</v>
      </c>
    </row>
    <row r="83" spans="1:20" ht="256.5">
      <c r="B83" s="20" t="s">
        <v>86</v>
      </c>
      <c r="C83" s="20" t="s">
        <v>86</v>
      </c>
      <c r="D83" s="20" t="s">
        <v>87</v>
      </c>
      <c r="E83" s="8" t="s">
        <v>88</v>
      </c>
      <c r="F83" s="40" t="s">
        <v>89</v>
      </c>
      <c r="G83" s="40" t="str">
        <f>TEXT(ROW(A66),"000")&amp;"-2025"</f>
        <v>066-2025</v>
      </c>
      <c r="H83" s="32" t="s">
        <v>213</v>
      </c>
      <c r="I83" s="33">
        <v>521698523</v>
      </c>
      <c r="J83" s="34">
        <v>45925</v>
      </c>
      <c r="K83" s="34">
        <v>46006</v>
      </c>
      <c r="L83" s="35" t="s">
        <v>14</v>
      </c>
      <c r="M83" s="35" t="s">
        <v>2</v>
      </c>
      <c r="N83" s="32" t="s">
        <v>214</v>
      </c>
      <c r="O83" s="33">
        <v>359800630.04000002</v>
      </c>
      <c r="P83" s="33">
        <f t="shared" si="3"/>
        <v>161897892.95999998</v>
      </c>
      <c r="Q83" s="36" t="s">
        <v>9</v>
      </c>
      <c r="R83" s="32" t="s">
        <v>373</v>
      </c>
      <c r="S83" s="46" t="s">
        <v>5</v>
      </c>
    </row>
    <row r="84" spans="1:20" s="39" customFormat="1" ht="185.25">
      <c r="B84" s="20" t="s">
        <v>86</v>
      </c>
      <c r="C84" s="20" t="s">
        <v>86</v>
      </c>
      <c r="D84" s="20" t="s">
        <v>87</v>
      </c>
      <c r="E84" s="8" t="s">
        <v>88</v>
      </c>
      <c r="F84" s="40" t="s">
        <v>89</v>
      </c>
      <c r="G84" s="40" t="str">
        <f>TEXT(ROW(A67),"000")&amp;"-2025"</f>
        <v>067-2025</v>
      </c>
      <c r="H84" s="32" t="s">
        <v>216</v>
      </c>
      <c r="I84" s="33">
        <v>29022910</v>
      </c>
      <c r="J84" s="34">
        <v>45873</v>
      </c>
      <c r="K84" s="70">
        <v>45904</v>
      </c>
      <c r="L84" s="35" t="s">
        <v>11</v>
      </c>
      <c r="M84" s="35" t="s">
        <v>2</v>
      </c>
      <c r="N84" s="32" t="s">
        <v>215</v>
      </c>
      <c r="O84" s="33">
        <v>29022909.989999998</v>
      </c>
      <c r="P84" s="33">
        <f t="shared" si="3"/>
        <v>1.0000001639127731E-2</v>
      </c>
      <c r="Q84" s="36" t="s">
        <v>208</v>
      </c>
      <c r="R84" s="32" t="s">
        <v>350</v>
      </c>
      <c r="S84" s="46" t="s">
        <v>18</v>
      </c>
      <c r="T84" s="39" t="s">
        <v>302</v>
      </c>
    </row>
    <row r="85" spans="1:20" ht="228">
      <c r="B85" s="20" t="s">
        <v>86</v>
      </c>
      <c r="C85" s="20" t="s">
        <v>86</v>
      </c>
      <c r="D85" s="20" t="s">
        <v>87</v>
      </c>
      <c r="E85" s="8" t="s">
        <v>88</v>
      </c>
      <c r="F85" s="40" t="s">
        <v>89</v>
      </c>
      <c r="G85" s="40" t="str">
        <f t="shared" ref="G85:G128" si="4">TEXT(ROW(A68),"000")&amp;"-2025"</f>
        <v>068-2025</v>
      </c>
      <c r="H85" s="32" t="s">
        <v>217</v>
      </c>
      <c r="I85" s="33">
        <v>1259015967</v>
      </c>
      <c r="J85" s="34">
        <v>45889</v>
      </c>
      <c r="K85" s="47" t="s">
        <v>224</v>
      </c>
      <c r="L85" s="35" t="s">
        <v>14</v>
      </c>
      <c r="M85" s="35" t="s">
        <v>2</v>
      </c>
      <c r="N85" s="32" t="s">
        <v>218</v>
      </c>
      <c r="O85" s="33"/>
      <c r="P85" s="33">
        <f t="shared" si="3"/>
        <v>1259015967</v>
      </c>
      <c r="Q85" s="36" t="s">
        <v>9</v>
      </c>
      <c r="R85" s="32" t="s">
        <v>369</v>
      </c>
      <c r="S85" s="46" t="s">
        <v>5</v>
      </c>
      <c r="T85" s="1" t="s">
        <v>302</v>
      </c>
    </row>
    <row r="86" spans="1:20" ht="256.5">
      <c r="B86" s="20" t="s">
        <v>86</v>
      </c>
      <c r="C86" s="20" t="s">
        <v>86</v>
      </c>
      <c r="D86" s="20" t="s">
        <v>87</v>
      </c>
      <c r="E86" s="8" t="s">
        <v>88</v>
      </c>
      <c r="F86" s="40" t="s">
        <v>89</v>
      </c>
      <c r="G86" s="40" t="str">
        <f t="shared" si="4"/>
        <v>069-2025</v>
      </c>
      <c r="H86" s="32" t="s">
        <v>219</v>
      </c>
      <c r="I86" s="33">
        <v>2185518766</v>
      </c>
      <c r="J86" s="34">
        <v>45882</v>
      </c>
      <c r="K86" s="34">
        <v>46022</v>
      </c>
      <c r="L86" s="35" t="s">
        <v>14</v>
      </c>
      <c r="M86" s="35" t="s">
        <v>2</v>
      </c>
      <c r="N86" s="32" t="s">
        <v>220</v>
      </c>
      <c r="O86" s="33">
        <f>807686745+1040682606+110099170</f>
        <v>1958468521</v>
      </c>
      <c r="P86" s="33">
        <f t="shared" si="3"/>
        <v>227050245</v>
      </c>
      <c r="Q86" s="36" t="s">
        <v>9</v>
      </c>
      <c r="R86" s="32" t="s">
        <v>373</v>
      </c>
      <c r="S86" s="46" t="s">
        <v>5</v>
      </c>
    </row>
    <row r="87" spans="1:20" ht="256.5">
      <c r="B87" s="20" t="s">
        <v>86</v>
      </c>
      <c r="C87" s="20" t="s">
        <v>86</v>
      </c>
      <c r="D87" s="20" t="s">
        <v>87</v>
      </c>
      <c r="E87" s="8" t="s">
        <v>88</v>
      </c>
      <c r="F87" s="40" t="s">
        <v>89</v>
      </c>
      <c r="G87" s="40" t="str">
        <f t="shared" si="4"/>
        <v>070-2025</v>
      </c>
      <c r="H87" s="32" t="s">
        <v>221</v>
      </c>
      <c r="I87" s="33">
        <v>313265017</v>
      </c>
      <c r="J87" s="34">
        <v>45883</v>
      </c>
      <c r="K87" s="47" t="s">
        <v>222</v>
      </c>
      <c r="L87" s="35" t="s">
        <v>14</v>
      </c>
      <c r="M87" s="35" t="s">
        <v>2</v>
      </c>
      <c r="N87" s="32" t="s">
        <v>223</v>
      </c>
      <c r="O87" s="33">
        <f>182288043+130919681</f>
        <v>313207724</v>
      </c>
      <c r="P87" s="33">
        <f t="shared" si="3"/>
        <v>57293</v>
      </c>
      <c r="Q87" s="36" t="s">
        <v>9</v>
      </c>
      <c r="R87" s="32" t="s">
        <v>373</v>
      </c>
      <c r="S87" s="46" t="s">
        <v>5</v>
      </c>
    </row>
    <row r="88" spans="1:20" ht="185.25">
      <c r="B88" s="20" t="s">
        <v>86</v>
      </c>
      <c r="C88" s="20" t="s">
        <v>86</v>
      </c>
      <c r="D88" s="20" t="s">
        <v>87</v>
      </c>
      <c r="E88" s="8" t="s">
        <v>88</v>
      </c>
      <c r="F88" s="40" t="s">
        <v>89</v>
      </c>
      <c r="G88" s="40" t="str">
        <f t="shared" si="4"/>
        <v>071-2025</v>
      </c>
      <c r="H88" s="32" t="s">
        <v>225</v>
      </c>
      <c r="I88" s="33">
        <v>49625216.649999999</v>
      </c>
      <c r="J88" s="34">
        <v>45882</v>
      </c>
      <c r="K88" s="35" t="s">
        <v>226</v>
      </c>
      <c r="L88" s="35" t="s">
        <v>14</v>
      </c>
      <c r="M88" s="35" t="s">
        <v>2</v>
      </c>
      <c r="N88" s="32" t="s">
        <v>227</v>
      </c>
      <c r="O88" s="33">
        <v>49625216.649999999</v>
      </c>
      <c r="P88" s="33">
        <f t="shared" si="3"/>
        <v>0</v>
      </c>
      <c r="Q88" s="36" t="s">
        <v>208</v>
      </c>
      <c r="R88" s="32" t="s">
        <v>350</v>
      </c>
      <c r="S88" s="46" t="s">
        <v>5</v>
      </c>
      <c r="T88" s="1" t="s">
        <v>302</v>
      </c>
    </row>
    <row r="89" spans="1:20" ht="256.5">
      <c r="B89" s="20" t="s">
        <v>86</v>
      </c>
      <c r="C89" s="20" t="s">
        <v>86</v>
      </c>
      <c r="D89" s="20" t="s">
        <v>87</v>
      </c>
      <c r="E89" s="8" t="s">
        <v>88</v>
      </c>
      <c r="F89" s="40" t="s">
        <v>89</v>
      </c>
      <c r="G89" s="40" t="str">
        <f t="shared" si="4"/>
        <v>072-2025</v>
      </c>
      <c r="H89" s="32" t="s">
        <v>228</v>
      </c>
      <c r="I89" s="33">
        <v>148725693</v>
      </c>
      <c r="J89" s="34">
        <v>45882</v>
      </c>
      <c r="K89" s="34">
        <v>46022</v>
      </c>
      <c r="L89" s="35" t="s">
        <v>17</v>
      </c>
      <c r="M89" s="35" t="s">
        <v>2</v>
      </c>
      <c r="N89" s="32" t="s">
        <v>229</v>
      </c>
      <c r="O89" s="33">
        <f>54963504.68+70778164.36+7492306</f>
        <v>133233975.03999999</v>
      </c>
      <c r="P89" s="33">
        <f t="shared" si="3"/>
        <v>15491717.960000008</v>
      </c>
      <c r="Q89" s="36" t="s">
        <v>9</v>
      </c>
      <c r="R89" s="32" t="s">
        <v>373</v>
      </c>
      <c r="S89" s="46" t="s">
        <v>5</v>
      </c>
    </row>
    <row r="90" spans="1:20" ht="256.5">
      <c r="B90" s="20" t="s">
        <v>86</v>
      </c>
      <c r="C90" s="20" t="s">
        <v>86</v>
      </c>
      <c r="D90" s="20" t="s">
        <v>87</v>
      </c>
      <c r="E90" s="8" t="s">
        <v>88</v>
      </c>
      <c r="F90" s="40" t="s">
        <v>89</v>
      </c>
      <c r="G90" s="40" t="str">
        <f t="shared" si="4"/>
        <v>073-2025</v>
      </c>
      <c r="H90" s="32" t="s">
        <v>230</v>
      </c>
      <c r="I90" s="33">
        <v>10864861882</v>
      </c>
      <c r="J90" s="34">
        <v>45883</v>
      </c>
      <c r="K90" s="34">
        <v>46022</v>
      </c>
      <c r="L90" s="35" t="s">
        <v>14</v>
      </c>
      <c r="M90" s="35" t="s">
        <v>2</v>
      </c>
      <c r="N90" s="32" t="s">
        <v>231</v>
      </c>
      <c r="O90" s="33">
        <f>1590176980+3799841580</f>
        <v>5390018560</v>
      </c>
      <c r="P90" s="33">
        <f t="shared" si="3"/>
        <v>5474843322</v>
      </c>
      <c r="Q90" s="36" t="s">
        <v>9</v>
      </c>
      <c r="R90" s="32" t="s">
        <v>373</v>
      </c>
      <c r="S90" s="46" t="s">
        <v>5</v>
      </c>
    </row>
    <row r="91" spans="1:20" ht="256.5">
      <c r="B91" s="20" t="s">
        <v>86</v>
      </c>
      <c r="C91" s="20" t="s">
        <v>86</v>
      </c>
      <c r="D91" s="20" t="s">
        <v>87</v>
      </c>
      <c r="E91" s="8" t="s">
        <v>88</v>
      </c>
      <c r="F91" s="40" t="s">
        <v>89</v>
      </c>
      <c r="G91" s="40" t="str">
        <f t="shared" si="4"/>
        <v>074-2025</v>
      </c>
      <c r="H91" s="32" t="s">
        <v>232</v>
      </c>
      <c r="I91" s="33">
        <v>709103199</v>
      </c>
      <c r="J91" s="34">
        <v>45883</v>
      </c>
      <c r="K91" s="34">
        <v>46022</v>
      </c>
      <c r="L91" s="35" t="s">
        <v>17</v>
      </c>
      <c r="M91" s="35" t="s">
        <v>2</v>
      </c>
      <c r="N91" s="32" t="s">
        <v>233</v>
      </c>
      <c r="O91" s="33">
        <v>56167117.329999998</v>
      </c>
      <c r="P91" s="33">
        <f t="shared" si="3"/>
        <v>652936081.66999996</v>
      </c>
      <c r="Q91" s="36" t="s">
        <v>9</v>
      </c>
      <c r="R91" s="32" t="s">
        <v>373</v>
      </c>
      <c r="S91" s="46" t="s">
        <v>5</v>
      </c>
    </row>
    <row r="92" spans="1:20" ht="256.5">
      <c r="B92" s="20" t="s">
        <v>86</v>
      </c>
      <c r="C92" s="20" t="s">
        <v>86</v>
      </c>
      <c r="D92" s="20" t="s">
        <v>87</v>
      </c>
      <c r="E92" s="8" t="s">
        <v>88</v>
      </c>
      <c r="F92" s="40" t="s">
        <v>89</v>
      </c>
      <c r="G92" s="40" t="str">
        <f t="shared" si="4"/>
        <v>075-2025</v>
      </c>
      <c r="H92" s="32" t="s">
        <v>234</v>
      </c>
      <c r="I92" s="33">
        <v>40278051</v>
      </c>
      <c r="J92" s="34">
        <v>45889</v>
      </c>
      <c r="K92" s="34">
        <v>46022</v>
      </c>
      <c r="L92" s="35" t="s">
        <v>3</v>
      </c>
      <c r="M92" s="35" t="s">
        <v>2</v>
      </c>
      <c r="N92" s="32" t="s">
        <v>235</v>
      </c>
      <c r="O92" s="33">
        <f>4475339+8950678+8950678+8950678</f>
        <v>31327373</v>
      </c>
      <c r="P92" s="33">
        <f t="shared" si="3"/>
        <v>8950678</v>
      </c>
      <c r="Q92" s="36" t="s">
        <v>9</v>
      </c>
      <c r="R92" s="32" t="s">
        <v>373</v>
      </c>
      <c r="S92" s="46" t="s">
        <v>5</v>
      </c>
    </row>
    <row r="93" spans="1:20" ht="256.5">
      <c r="B93" s="20" t="s">
        <v>86</v>
      </c>
      <c r="C93" s="20" t="s">
        <v>86</v>
      </c>
      <c r="D93" s="20" t="s">
        <v>87</v>
      </c>
      <c r="E93" s="8" t="s">
        <v>88</v>
      </c>
      <c r="F93" s="40" t="s">
        <v>89</v>
      </c>
      <c r="G93" s="40" t="str">
        <f t="shared" si="4"/>
        <v>076-2025</v>
      </c>
      <c r="H93" s="32" t="s">
        <v>236</v>
      </c>
      <c r="I93" s="33">
        <v>13389772</v>
      </c>
      <c r="J93" s="34">
        <v>45888</v>
      </c>
      <c r="K93" s="34">
        <v>46022</v>
      </c>
      <c r="L93" s="35" t="s">
        <v>3</v>
      </c>
      <c r="M93" s="35" t="s">
        <v>2</v>
      </c>
      <c r="N93" s="32" t="s">
        <v>237</v>
      </c>
      <c r="O93" s="33">
        <f>1487752+2975505+2975505+2975505</f>
        <v>10414267</v>
      </c>
      <c r="P93" s="33">
        <f t="shared" si="3"/>
        <v>2975505</v>
      </c>
      <c r="Q93" s="36" t="s">
        <v>9</v>
      </c>
      <c r="R93" s="32" t="s">
        <v>373</v>
      </c>
      <c r="S93" s="46" t="s">
        <v>5</v>
      </c>
    </row>
    <row r="94" spans="1:20" ht="256.5">
      <c r="B94" s="20" t="s">
        <v>86</v>
      </c>
      <c r="C94" s="20" t="s">
        <v>86</v>
      </c>
      <c r="D94" s="20" t="s">
        <v>87</v>
      </c>
      <c r="E94" s="8" t="s">
        <v>88</v>
      </c>
      <c r="F94" s="40" t="s">
        <v>89</v>
      </c>
      <c r="G94" s="40" t="str">
        <f t="shared" si="4"/>
        <v>077-2025</v>
      </c>
      <c r="H94" s="32" t="s">
        <v>238</v>
      </c>
      <c r="I94" s="33">
        <v>3695353167</v>
      </c>
      <c r="J94" s="34">
        <v>45896</v>
      </c>
      <c r="K94" s="34">
        <v>46022</v>
      </c>
      <c r="L94" s="35" t="s">
        <v>14</v>
      </c>
      <c r="M94" s="35" t="s">
        <v>2</v>
      </c>
      <c r="N94" s="32" t="s">
        <v>239</v>
      </c>
      <c r="O94" s="33">
        <v>875924602</v>
      </c>
      <c r="P94" s="33">
        <f t="shared" si="3"/>
        <v>2819428565</v>
      </c>
      <c r="Q94" s="36" t="s">
        <v>9</v>
      </c>
      <c r="R94" s="32" t="s">
        <v>373</v>
      </c>
      <c r="S94" s="46" t="s">
        <v>5</v>
      </c>
    </row>
    <row r="95" spans="1:20" ht="256.5">
      <c r="B95" s="20" t="s">
        <v>86</v>
      </c>
      <c r="C95" s="20" t="s">
        <v>86</v>
      </c>
      <c r="D95" s="20" t="s">
        <v>87</v>
      </c>
      <c r="E95" s="8" t="s">
        <v>88</v>
      </c>
      <c r="F95" s="40" t="s">
        <v>89</v>
      </c>
      <c r="G95" s="40" t="str">
        <f t="shared" si="4"/>
        <v>078-2025</v>
      </c>
      <c r="H95" s="32" t="s">
        <v>240</v>
      </c>
      <c r="I95" s="33">
        <v>2218337500</v>
      </c>
      <c r="J95" s="34">
        <v>45896</v>
      </c>
      <c r="K95" s="34">
        <v>46022</v>
      </c>
      <c r="L95" s="35" t="s">
        <v>14</v>
      </c>
      <c r="M95" s="35" t="s">
        <v>2</v>
      </c>
      <c r="N95" s="32" t="s">
        <v>241</v>
      </c>
      <c r="O95" s="33">
        <v>620601132</v>
      </c>
      <c r="P95" s="33">
        <f t="shared" si="3"/>
        <v>1597736368</v>
      </c>
      <c r="Q95" s="36" t="s">
        <v>9</v>
      </c>
      <c r="R95" s="32" t="s">
        <v>373</v>
      </c>
      <c r="S95" s="46" t="s">
        <v>5</v>
      </c>
    </row>
    <row r="96" spans="1:20" ht="256.5">
      <c r="B96" s="20" t="s">
        <v>86</v>
      </c>
      <c r="C96" s="20" t="s">
        <v>86</v>
      </c>
      <c r="D96" s="20" t="s">
        <v>87</v>
      </c>
      <c r="E96" s="8" t="s">
        <v>88</v>
      </c>
      <c r="F96" s="40" t="s">
        <v>89</v>
      </c>
      <c r="G96" s="40" t="str">
        <f t="shared" si="4"/>
        <v>079-2025</v>
      </c>
      <c r="H96" s="32" t="s">
        <v>242</v>
      </c>
      <c r="I96" s="33">
        <v>1577676317</v>
      </c>
      <c r="J96" s="34">
        <v>45896</v>
      </c>
      <c r="K96" s="34">
        <v>46022</v>
      </c>
      <c r="L96" s="35" t="s">
        <v>14</v>
      </c>
      <c r="M96" s="35" t="s">
        <v>2</v>
      </c>
      <c r="N96" s="32" t="s">
        <v>243</v>
      </c>
      <c r="O96" s="33">
        <v>1190189660</v>
      </c>
      <c r="P96" s="33">
        <f t="shared" si="3"/>
        <v>387486657</v>
      </c>
      <c r="Q96" s="36" t="s">
        <v>9</v>
      </c>
      <c r="R96" s="32" t="s">
        <v>373</v>
      </c>
      <c r="S96" s="46" t="s">
        <v>5</v>
      </c>
    </row>
    <row r="97" spans="2:20" ht="256.5">
      <c r="B97" s="20" t="s">
        <v>86</v>
      </c>
      <c r="C97" s="20" t="s">
        <v>86</v>
      </c>
      <c r="D97" s="20" t="s">
        <v>87</v>
      </c>
      <c r="E97" s="8" t="s">
        <v>88</v>
      </c>
      <c r="F97" s="40" t="s">
        <v>89</v>
      </c>
      <c r="G97" s="40" t="str">
        <f t="shared" si="4"/>
        <v>080-2025</v>
      </c>
      <c r="H97" s="32" t="s">
        <v>244</v>
      </c>
      <c r="I97" s="33">
        <v>2436754681</v>
      </c>
      <c r="J97" s="34">
        <v>45896</v>
      </c>
      <c r="K97" s="34">
        <v>46022</v>
      </c>
      <c r="L97" s="35" t="s">
        <v>14</v>
      </c>
      <c r="M97" s="35" t="s">
        <v>2</v>
      </c>
      <c r="N97" s="42" t="s">
        <v>245</v>
      </c>
      <c r="O97" s="33">
        <v>1755171071</v>
      </c>
      <c r="P97" s="33">
        <f t="shared" si="3"/>
        <v>681583610</v>
      </c>
      <c r="Q97" s="36" t="s">
        <v>9</v>
      </c>
      <c r="R97" s="32" t="s">
        <v>373</v>
      </c>
      <c r="S97" s="46" t="s">
        <v>5</v>
      </c>
    </row>
    <row r="98" spans="2:20" ht="256.5">
      <c r="B98" s="20" t="s">
        <v>86</v>
      </c>
      <c r="C98" s="20" t="s">
        <v>86</v>
      </c>
      <c r="D98" s="20" t="s">
        <v>87</v>
      </c>
      <c r="E98" s="8" t="s">
        <v>88</v>
      </c>
      <c r="F98" s="40" t="s">
        <v>89</v>
      </c>
      <c r="G98" s="40" t="str">
        <f t="shared" si="4"/>
        <v>081-2025</v>
      </c>
      <c r="H98" s="32" t="s">
        <v>246</v>
      </c>
      <c r="I98" s="33">
        <v>626582648</v>
      </c>
      <c r="J98" s="34">
        <v>45894</v>
      </c>
      <c r="K98" s="34">
        <v>46022</v>
      </c>
      <c r="L98" s="35" t="s">
        <v>14</v>
      </c>
      <c r="M98" s="35" t="s">
        <v>2</v>
      </c>
      <c r="N98" s="42" t="s">
        <v>247</v>
      </c>
      <c r="O98" s="33">
        <f>125316529+280935791+157672065.94+62858262</f>
        <v>626782647.94000006</v>
      </c>
      <c r="P98" s="33">
        <f t="shared" si="3"/>
        <v>-199999.94000005722</v>
      </c>
      <c r="Q98" s="36" t="s">
        <v>9</v>
      </c>
      <c r="R98" s="32" t="s">
        <v>373</v>
      </c>
      <c r="S98" s="46" t="s">
        <v>5</v>
      </c>
    </row>
    <row r="99" spans="2:20" ht="256.5">
      <c r="B99" s="20" t="s">
        <v>86</v>
      </c>
      <c r="C99" s="20" t="s">
        <v>86</v>
      </c>
      <c r="D99" s="20" t="s">
        <v>87</v>
      </c>
      <c r="E99" s="8" t="s">
        <v>88</v>
      </c>
      <c r="F99" s="40" t="s">
        <v>89</v>
      </c>
      <c r="G99" s="40" t="str">
        <f t="shared" si="4"/>
        <v>082-2025</v>
      </c>
      <c r="H99" s="32" t="s">
        <v>248</v>
      </c>
      <c r="I99" s="33">
        <v>39931046</v>
      </c>
      <c r="J99" s="34">
        <v>45894</v>
      </c>
      <c r="K99" s="34">
        <v>46022</v>
      </c>
      <c r="L99" s="35" t="s">
        <v>17</v>
      </c>
      <c r="M99" s="35" t="s">
        <v>2</v>
      </c>
      <c r="N99" s="42" t="s">
        <v>249</v>
      </c>
      <c r="O99" s="33">
        <v>18034381</v>
      </c>
      <c r="P99" s="33">
        <f t="shared" si="3"/>
        <v>21896665</v>
      </c>
      <c r="Q99" s="36" t="s">
        <v>9</v>
      </c>
      <c r="R99" s="32" t="s">
        <v>373</v>
      </c>
      <c r="S99" s="46" t="s">
        <v>5</v>
      </c>
    </row>
    <row r="100" spans="2:20" ht="256.5">
      <c r="B100" s="20" t="s">
        <v>86</v>
      </c>
      <c r="C100" s="20" t="s">
        <v>86</v>
      </c>
      <c r="D100" s="20" t="s">
        <v>87</v>
      </c>
      <c r="E100" s="8" t="s">
        <v>88</v>
      </c>
      <c r="F100" s="40" t="s">
        <v>89</v>
      </c>
      <c r="G100" s="40" t="str">
        <f t="shared" si="4"/>
        <v>083-2025</v>
      </c>
      <c r="H100" s="32" t="s">
        <v>250</v>
      </c>
      <c r="I100" s="33">
        <v>469063987</v>
      </c>
      <c r="J100" s="34">
        <v>45896</v>
      </c>
      <c r="K100" s="34">
        <v>46022</v>
      </c>
      <c r="L100" s="35" t="s">
        <v>17</v>
      </c>
      <c r="M100" s="35" t="s">
        <v>2</v>
      </c>
      <c r="N100" s="42" t="s">
        <v>251</v>
      </c>
      <c r="O100" s="33">
        <f>5159704.01+98034373</f>
        <v>103194077.01000001</v>
      </c>
      <c r="P100" s="33">
        <f t="shared" si="3"/>
        <v>365869909.99000001</v>
      </c>
      <c r="Q100" s="36" t="s">
        <v>9</v>
      </c>
      <c r="R100" s="32" t="s">
        <v>373</v>
      </c>
      <c r="S100" s="46" t="s">
        <v>5</v>
      </c>
    </row>
    <row r="101" spans="2:20" ht="228">
      <c r="B101" s="20" t="s">
        <v>86</v>
      </c>
      <c r="C101" s="20" t="s">
        <v>86</v>
      </c>
      <c r="D101" s="20" t="s">
        <v>87</v>
      </c>
      <c r="E101" s="8" t="s">
        <v>88</v>
      </c>
      <c r="F101" s="40" t="s">
        <v>89</v>
      </c>
      <c r="G101" s="40" t="str">
        <f t="shared" si="4"/>
        <v>084-2025</v>
      </c>
      <c r="H101" s="32" t="s">
        <v>49</v>
      </c>
      <c r="I101" s="33">
        <v>960773130</v>
      </c>
      <c r="J101" s="34">
        <v>45904</v>
      </c>
      <c r="K101" s="34">
        <v>46022</v>
      </c>
      <c r="L101" s="32" t="s">
        <v>3</v>
      </c>
      <c r="M101" s="35" t="s">
        <v>2</v>
      </c>
      <c r="N101" s="32" t="s">
        <v>252</v>
      </c>
      <c r="O101" s="33">
        <f>367500000+296634644+296638486</f>
        <v>960773130</v>
      </c>
      <c r="P101" s="33">
        <f t="shared" si="3"/>
        <v>0</v>
      </c>
      <c r="Q101" s="36" t="s">
        <v>208</v>
      </c>
      <c r="R101" s="32" t="s">
        <v>370</v>
      </c>
      <c r="S101" s="46" t="s">
        <v>0</v>
      </c>
    </row>
    <row r="102" spans="2:20" ht="213.75">
      <c r="B102" s="20" t="s">
        <v>86</v>
      </c>
      <c r="C102" s="20" t="s">
        <v>86</v>
      </c>
      <c r="D102" s="20" t="s">
        <v>87</v>
      </c>
      <c r="E102" s="8" t="s">
        <v>88</v>
      </c>
      <c r="F102" s="40" t="s">
        <v>89</v>
      </c>
      <c r="G102" s="40" t="str">
        <f t="shared" si="4"/>
        <v>085-2025</v>
      </c>
      <c r="H102" s="32" t="s">
        <v>52</v>
      </c>
      <c r="I102" s="33">
        <v>12000000</v>
      </c>
      <c r="J102" s="34">
        <v>45901</v>
      </c>
      <c r="K102" s="70">
        <v>46022</v>
      </c>
      <c r="L102" s="35" t="s">
        <v>3</v>
      </c>
      <c r="M102" s="35" t="s">
        <v>2</v>
      </c>
      <c r="N102" s="32" t="s">
        <v>51</v>
      </c>
      <c r="O102" s="33">
        <f>3000000*4</f>
        <v>12000000</v>
      </c>
      <c r="P102" s="33">
        <f t="shared" si="3"/>
        <v>0</v>
      </c>
      <c r="Q102" s="36" t="s">
        <v>208</v>
      </c>
      <c r="R102" s="32" t="s">
        <v>371</v>
      </c>
      <c r="S102" s="46" t="s">
        <v>18</v>
      </c>
    </row>
    <row r="103" spans="2:20" ht="213.75">
      <c r="B103" s="20" t="s">
        <v>86</v>
      </c>
      <c r="C103" s="20" t="s">
        <v>86</v>
      </c>
      <c r="D103" s="20" t="s">
        <v>87</v>
      </c>
      <c r="E103" s="8" t="s">
        <v>88</v>
      </c>
      <c r="F103" s="40" t="s">
        <v>89</v>
      </c>
      <c r="G103" s="40" t="str">
        <f t="shared" si="4"/>
        <v>086-2025</v>
      </c>
      <c r="H103" s="32" t="s">
        <v>253</v>
      </c>
      <c r="I103" s="33">
        <v>12000000</v>
      </c>
      <c r="J103" s="34">
        <v>45901</v>
      </c>
      <c r="K103" s="70">
        <v>46022</v>
      </c>
      <c r="L103" s="32" t="s">
        <v>3</v>
      </c>
      <c r="M103" s="35" t="s">
        <v>2</v>
      </c>
      <c r="N103" s="32" t="s">
        <v>254</v>
      </c>
      <c r="O103" s="33">
        <f>3000000*4</f>
        <v>12000000</v>
      </c>
      <c r="P103" s="33">
        <f t="shared" si="3"/>
        <v>0</v>
      </c>
      <c r="Q103" s="36" t="s">
        <v>208</v>
      </c>
      <c r="R103" s="32" t="s">
        <v>372</v>
      </c>
      <c r="S103" s="46" t="s">
        <v>18</v>
      </c>
    </row>
    <row r="104" spans="2:20" ht="185.25">
      <c r="B104" s="20" t="s">
        <v>86</v>
      </c>
      <c r="C104" s="20" t="s">
        <v>86</v>
      </c>
      <c r="D104" s="20" t="s">
        <v>87</v>
      </c>
      <c r="E104" s="8" t="s">
        <v>88</v>
      </c>
      <c r="F104" s="40" t="s">
        <v>89</v>
      </c>
      <c r="G104" s="40" t="str">
        <f t="shared" si="4"/>
        <v>087-2025</v>
      </c>
      <c r="H104" s="32" t="s">
        <v>255</v>
      </c>
      <c r="I104" s="33">
        <v>154599450</v>
      </c>
      <c r="J104" s="34">
        <v>45912</v>
      </c>
      <c r="K104" s="34">
        <v>46022</v>
      </c>
      <c r="L104" s="32" t="s">
        <v>3</v>
      </c>
      <c r="M104" s="35" t="s">
        <v>2</v>
      </c>
      <c r="N104" s="32" t="s">
        <v>256</v>
      </c>
      <c r="O104" s="33">
        <f>(51760197*2)+51079056</f>
        <v>154599450</v>
      </c>
      <c r="P104" s="33">
        <f t="shared" si="3"/>
        <v>0</v>
      </c>
      <c r="Q104" s="36" t="s">
        <v>208</v>
      </c>
      <c r="R104" s="32" t="s">
        <v>370</v>
      </c>
      <c r="S104" s="46" t="s">
        <v>0</v>
      </c>
    </row>
    <row r="105" spans="2:20" ht="256.5">
      <c r="B105" s="20" t="s">
        <v>86</v>
      </c>
      <c r="C105" s="20" t="s">
        <v>86</v>
      </c>
      <c r="D105" s="20" t="s">
        <v>87</v>
      </c>
      <c r="E105" s="8" t="s">
        <v>88</v>
      </c>
      <c r="F105" s="40" t="s">
        <v>89</v>
      </c>
      <c r="G105" s="40" t="str">
        <f t="shared" si="4"/>
        <v>088-2025</v>
      </c>
      <c r="H105" s="32" t="s">
        <v>24</v>
      </c>
      <c r="I105" s="33">
        <v>24916667</v>
      </c>
      <c r="J105" s="34">
        <v>45908</v>
      </c>
      <c r="K105" s="34">
        <v>46022</v>
      </c>
      <c r="L105" s="32" t="s">
        <v>3</v>
      </c>
      <c r="M105" s="35" t="s">
        <v>2</v>
      </c>
      <c r="N105" s="32" t="s">
        <v>257</v>
      </c>
      <c r="O105" s="33">
        <f>4983333+6500000+6500000</f>
        <v>17983333</v>
      </c>
      <c r="P105" s="33">
        <f t="shared" si="3"/>
        <v>6933334</v>
      </c>
      <c r="Q105" s="36" t="s">
        <v>9</v>
      </c>
      <c r="R105" s="32" t="s">
        <v>373</v>
      </c>
      <c r="S105" s="36" t="s">
        <v>5</v>
      </c>
    </row>
    <row r="106" spans="2:20" ht="256.5">
      <c r="B106" s="20" t="s">
        <v>86</v>
      </c>
      <c r="C106" s="20" t="s">
        <v>86</v>
      </c>
      <c r="D106" s="20" t="s">
        <v>87</v>
      </c>
      <c r="E106" s="8" t="s">
        <v>88</v>
      </c>
      <c r="F106" s="40" t="s">
        <v>89</v>
      </c>
      <c r="G106" s="40" t="str">
        <f t="shared" si="4"/>
        <v>089-2025</v>
      </c>
      <c r="H106" s="32" t="s">
        <v>258</v>
      </c>
      <c r="I106" s="33">
        <v>71100624</v>
      </c>
      <c r="J106" s="34">
        <v>45916</v>
      </c>
      <c r="K106" s="34">
        <v>46022</v>
      </c>
      <c r="L106" s="32" t="s">
        <v>14</v>
      </c>
      <c r="M106" s="35" t="s">
        <v>2</v>
      </c>
      <c r="N106" s="32" t="s">
        <v>259</v>
      </c>
      <c r="O106" s="33">
        <v>1420561.64</v>
      </c>
      <c r="P106" s="33">
        <f t="shared" si="3"/>
        <v>69680062.359999999</v>
      </c>
      <c r="Q106" s="36" t="s">
        <v>9</v>
      </c>
      <c r="R106" s="32" t="s">
        <v>373</v>
      </c>
      <c r="S106" s="36" t="s">
        <v>5</v>
      </c>
    </row>
    <row r="107" spans="2:20" s="30" customFormat="1" ht="185.25">
      <c r="B107" s="20" t="s">
        <v>86</v>
      </c>
      <c r="C107" s="20" t="s">
        <v>86</v>
      </c>
      <c r="D107" s="20" t="s">
        <v>87</v>
      </c>
      <c r="E107" s="8" t="s">
        <v>88</v>
      </c>
      <c r="F107" s="40" t="s">
        <v>89</v>
      </c>
      <c r="G107" s="40" t="str">
        <f t="shared" si="4"/>
        <v>090-2025</v>
      </c>
      <c r="H107" s="32" t="s">
        <v>260</v>
      </c>
      <c r="I107" s="33">
        <v>9000000</v>
      </c>
      <c r="J107" s="34">
        <v>45931</v>
      </c>
      <c r="K107" s="70">
        <v>46022</v>
      </c>
      <c r="L107" s="32" t="s">
        <v>3</v>
      </c>
      <c r="M107" s="35" t="s">
        <v>2</v>
      </c>
      <c r="N107" s="32" t="s">
        <v>261</v>
      </c>
      <c r="O107" s="33">
        <f>3000000*3</f>
        <v>9000000</v>
      </c>
      <c r="P107" s="33">
        <f t="shared" si="3"/>
        <v>0</v>
      </c>
      <c r="Q107" s="36" t="s">
        <v>208</v>
      </c>
      <c r="R107" s="32" t="s">
        <v>370</v>
      </c>
      <c r="S107" s="36" t="s">
        <v>18</v>
      </c>
    </row>
    <row r="108" spans="2:20" ht="185.25">
      <c r="B108" s="20" t="s">
        <v>86</v>
      </c>
      <c r="C108" s="20" t="s">
        <v>86</v>
      </c>
      <c r="D108" s="20" t="s">
        <v>87</v>
      </c>
      <c r="E108" s="8" t="s">
        <v>88</v>
      </c>
      <c r="F108" s="40" t="s">
        <v>89</v>
      </c>
      <c r="G108" s="40" t="str">
        <f t="shared" si="4"/>
        <v>091-2025</v>
      </c>
      <c r="H108" s="32" t="s">
        <v>262</v>
      </c>
      <c r="I108" s="33">
        <v>10200000</v>
      </c>
      <c r="J108" s="34">
        <v>45931</v>
      </c>
      <c r="K108" s="70">
        <v>46022</v>
      </c>
      <c r="L108" s="32" t="s">
        <v>3</v>
      </c>
      <c r="M108" s="35" t="s">
        <v>2</v>
      </c>
      <c r="N108" s="32" t="s">
        <v>204</v>
      </c>
      <c r="O108" s="33">
        <f>3400000*3</f>
        <v>10200000</v>
      </c>
      <c r="P108" s="33">
        <f t="shared" si="3"/>
        <v>0</v>
      </c>
      <c r="Q108" s="36" t="s">
        <v>208</v>
      </c>
      <c r="R108" s="32" t="s">
        <v>370</v>
      </c>
      <c r="S108" s="36" t="s">
        <v>18</v>
      </c>
    </row>
    <row r="109" spans="2:20" ht="185.25">
      <c r="B109" s="20" t="s">
        <v>86</v>
      </c>
      <c r="C109" s="20" t="s">
        <v>86</v>
      </c>
      <c r="D109" s="20" t="s">
        <v>87</v>
      </c>
      <c r="E109" s="8" t="s">
        <v>88</v>
      </c>
      <c r="F109" s="40" t="s">
        <v>89</v>
      </c>
      <c r="G109" s="40" t="str">
        <f t="shared" si="4"/>
        <v>092-2025</v>
      </c>
      <c r="H109" s="32" t="s">
        <v>263</v>
      </c>
      <c r="I109" s="33">
        <v>13999999</v>
      </c>
      <c r="J109" s="34">
        <v>45936</v>
      </c>
      <c r="K109" s="70">
        <v>46022</v>
      </c>
      <c r="L109" s="32" t="s">
        <v>3</v>
      </c>
      <c r="M109" s="35" t="s">
        <v>2</v>
      </c>
      <c r="N109" s="32" t="s">
        <v>264</v>
      </c>
      <c r="O109" s="33">
        <f>3999999+5000000+5000000</f>
        <v>13999999</v>
      </c>
      <c r="P109" s="33">
        <f t="shared" si="3"/>
        <v>0</v>
      </c>
      <c r="Q109" s="36" t="s">
        <v>208</v>
      </c>
      <c r="R109" s="32" t="s">
        <v>370</v>
      </c>
      <c r="S109" s="36" t="s">
        <v>18</v>
      </c>
    </row>
    <row r="110" spans="2:20" ht="185.25">
      <c r="B110" s="20" t="s">
        <v>86</v>
      </c>
      <c r="C110" s="20" t="s">
        <v>86</v>
      </c>
      <c r="D110" s="20" t="s">
        <v>87</v>
      </c>
      <c r="E110" s="8" t="s">
        <v>88</v>
      </c>
      <c r="F110" s="40" t="s">
        <v>89</v>
      </c>
      <c r="G110" s="40" t="str">
        <f t="shared" si="4"/>
        <v>093-2025</v>
      </c>
      <c r="H110" s="32" t="s">
        <v>265</v>
      </c>
      <c r="I110" s="33">
        <v>446925088</v>
      </c>
      <c r="J110" s="34">
        <v>45945</v>
      </c>
      <c r="K110" s="34">
        <v>45960</v>
      </c>
      <c r="L110" s="32" t="s">
        <v>266</v>
      </c>
      <c r="M110" s="35" t="s">
        <v>2</v>
      </c>
      <c r="N110" s="32" t="s">
        <v>267</v>
      </c>
      <c r="O110" s="33">
        <f>76736360+238488671+131700056</f>
        <v>446925087</v>
      </c>
      <c r="P110" s="33">
        <f t="shared" si="3"/>
        <v>1</v>
      </c>
      <c r="Q110" s="36" t="s">
        <v>208</v>
      </c>
      <c r="R110" s="32" t="s">
        <v>370</v>
      </c>
      <c r="S110" s="36" t="s">
        <v>268</v>
      </c>
    </row>
    <row r="111" spans="2:20" ht="256.5">
      <c r="B111" s="20" t="s">
        <v>86</v>
      </c>
      <c r="C111" s="20" t="s">
        <v>86</v>
      </c>
      <c r="D111" s="20" t="s">
        <v>87</v>
      </c>
      <c r="E111" s="8" t="s">
        <v>88</v>
      </c>
      <c r="F111" s="40" t="s">
        <v>89</v>
      </c>
      <c r="G111" s="40" t="str">
        <f t="shared" si="4"/>
        <v>094-2025</v>
      </c>
      <c r="H111" s="32" t="s">
        <v>269</v>
      </c>
      <c r="I111" s="33">
        <v>390040000</v>
      </c>
      <c r="J111" s="34">
        <v>45950</v>
      </c>
      <c r="K111" s="34">
        <v>46022</v>
      </c>
      <c r="L111" s="32" t="s">
        <v>14</v>
      </c>
      <c r="M111" s="35" t="s">
        <v>2</v>
      </c>
      <c r="N111" s="32" t="s">
        <v>270</v>
      </c>
      <c r="O111" s="33"/>
      <c r="P111" s="33">
        <f t="shared" si="3"/>
        <v>390040000</v>
      </c>
      <c r="Q111" s="36" t="s">
        <v>9</v>
      </c>
      <c r="R111" s="32" t="s">
        <v>373</v>
      </c>
      <c r="S111" s="36" t="s">
        <v>5</v>
      </c>
      <c r="T111" s="1" t="s">
        <v>302</v>
      </c>
    </row>
    <row r="112" spans="2:20" ht="256.5">
      <c r="B112" s="20" t="s">
        <v>86</v>
      </c>
      <c r="C112" s="20" t="s">
        <v>86</v>
      </c>
      <c r="D112" s="20" t="s">
        <v>87</v>
      </c>
      <c r="E112" s="8" t="s">
        <v>88</v>
      </c>
      <c r="F112" s="40" t="s">
        <v>89</v>
      </c>
      <c r="G112" s="40" t="str">
        <f t="shared" si="4"/>
        <v>095-2025</v>
      </c>
      <c r="H112" s="32" t="s">
        <v>271</v>
      </c>
      <c r="I112" s="33">
        <v>102900000</v>
      </c>
      <c r="J112" s="34">
        <v>45951</v>
      </c>
      <c r="K112" s="34">
        <v>46022</v>
      </c>
      <c r="L112" s="32" t="s">
        <v>14</v>
      </c>
      <c r="M112" s="35" t="s">
        <v>2</v>
      </c>
      <c r="N112" s="32" t="s">
        <v>272</v>
      </c>
      <c r="O112" s="33">
        <f>92610000+10289452</f>
        <v>102899452</v>
      </c>
      <c r="P112" s="33">
        <f t="shared" si="3"/>
        <v>548</v>
      </c>
      <c r="Q112" s="36" t="s">
        <v>9</v>
      </c>
      <c r="R112" s="32" t="s">
        <v>373</v>
      </c>
      <c r="S112" s="36" t="s">
        <v>5</v>
      </c>
      <c r="T112" s="30"/>
    </row>
    <row r="113" spans="2:20" s="30" customFormat="1" ht="256.5">
      <c r="B113" s="52" t="s">
        <v>86</v>
      </c>
      <c r="C113" s="52" t="s">
        <v>86</v>
      </c>
      <c r="D113" s="52" t="s">
        <v>87</v>
      </c>
      <c r="E113" s="53" t="s">
        <v>88</v>
      </c>
      <c r="F113" s="54" t="s">
        <v>89</v>
      </c>
      <c r="G113" s="54" t="str">
        <f t="shared" si="4"/>
        <v>096-2025</v>
      </c>
      <c r="H113" s="60" t="s">
        <v>303</v>
      </c>
      <c r="I113" s="61">
        <v>20000000</v>
      </c>
      <c r="J113" s="62">
        <v>46027</v>
      </c>
      <c r="K113" s="71">
        <v>46387</v>
      </c>
      <c r="L113" s="60" t="s">
        <v>304</v>
      </c>
      <c r="M113" s="63" t="s">
        <v>2</v>
      </c>
      <c r="N113" s="60" t="s">
        <v>305</v>
      </c>
      <c r="O113" s="64"/>
      <c r="P113" s="61">
        <f t="shared" si="3"/>
        <v>20000000</v>
      </c>
      <c r="Q113" s="65" t="s">
        <v>9</v>
      </c>
      <c r="R113" s="60" t="s">
        <v>373</v>
      </c>
      <c r="S113" s="65" t="s">
        <v>18</v>
      </c>
      <c r="T113" s="30" t="s">
        <v>347</v>
      </c>
    </row>
    <row r="114" spans="2:20" ht="256.5">
      <c r="B114" s="20" t="s">
        <v>86</v>
      </c>
      <c r="C114" s="20" t="s">
        <v>86</v>
      </c>
      <c r="D114" s="20" t="s">
        <v>87</v>
      </c>
      <c r="E114" s="8" t="s">
        <v>88</v>
      </c>
      <c r="F114" s="40" t="s">
        <v>89</v>
      </c>
      <c r="G114" s="40" t="str">
        <f t="shared" si="4"/>
        <v>097-2025</v>
      </c>
      <c r="H114" s="32" t="s">
        <v>306</v>
      </c>
      <c r="I114" s="33">
        <v>6408000</v>
      </c>
      <c r="J114" s="34">
        <v>45955</v>
      </c>
      <c r="K114" s="72" t="s">
        <v>343</v>
      </c>
      <c r="L114" s="32" t="s">
        <v>3</v>
      </c>
      <c r="M114" s="35" t="s">
        <v>2</v>
      </c>
      <c r="N114" s="32" t="s">
        <v>307</v>
      </c>
      <c r="O114" s="33">
        <v>6408000</v>
      </c>
      <c r="P114" s="33">
        <f t="shared" ref="P114:P128" si="5">I114-O114</f>
        <v>0</v>
      </c>
      <c r="Q114" s="36" t="s">
        <v>208</v>
      </c>
      <c r="R114" s="32" t="s">
        <v>373</v>
      </c>
      <c r="S114" s="36" t="s">
        <v>18</v>
      </c>
    </row>
    <row r="115" spans="2:20" ht="256.5">
      <c r="B115" s="20" t="s">
        <v>86</v>
      </c>
      <c r="C115" s="20" t="s">
        <v>86</v>
      </c>
      <c r="D115" s="20" t="s">
        <v>87</v>
      </c>
      <c r="E115" s="8" t="s">
        <v>88</v>
      </c>
      <c r="F115" s="40" t="s">
        <v>89</v>
      </c>
      <c r="G115" s="40" t="str">
        <f t="shared" si="4"/>
        <v>098-2025</v>
      </c>
      <c r="H115" s="32" t="s">
        <v>308</v>
      </c>
      <c r="I115" s="33">
        <v>5736489535.8999996</v>
      </c>
      <c r="J115" s="34">
        <v>45994</v>
      </c>
      <c r="K115" s="34">
        <v>46196</v>
      </c>
      <c r="L115" s="35" t="s">
        <v>310</v>
      </c>
      <c r="M115" s="35" t="s">
        <v>2</v>
      </c>
      <c r="N115" s="32" t="s">
        <v>309</v>
      </c>
      <c r="O115" s="33"/>
      <c r="P115" s="33">
        <f t="shared" si="5"/>
        <v>5736489535.8999996</v>
      </c>
      <c r="Q115" s="36"/>
      <c r="R115" s="32" t="s">
        <v>373</v>
      </c>
      <c r="S115" s="36" t="s">
        <v>5</v>
      </c>
      <c r="T115" s="1" t="s">
        <v>302</v>
      </c>
    </row>
    <row r="116" spans="2:20" ht="256.5">
      <c r="B116" s="20" t="s">
        <v>86</v>
      </c>
      <c r="C116" s="20" t="s">
        <v>86</v>
      </c>
      <c r="D116" s="20" t="s">
        <v>87</v>
      </c>
      <c r="E116" s="8" t="s">
        <v>88</v>
      </c>
      <c r="F116" s="40" t="s">
        <v>89</v>
      </c>
      <c r="G116" s="40" t="str">
        <f t="shared" si="4"/>
        <v>099-2025</v>
      </c>
      <c r="H116" s="32" t="s">
        <v>311</v>
      </c>
      <c r="I116" s="33">
        <v>430264577</v>
      </c>
      <c r="J116" s="34">
        <v>45994</v>
      </c>
      <c r="K116" s="34">
        <v>46196</v>
      </c>
      <c r="L116" s="35" t="s">
        <v>17</v>
      </c>
      <c r="M116" s="35" t="s">
        <v>2</v>
      </c>
      <c r="N116" s="32" t="s">
        <v>312</v>
      </c>
      <c r="O116" s="33"/>
      <c r="P116" s="33">
        <f t="shared" si="5"/>
        <v>430264577</v>
      </c>
      <c r="Q116" s="36"/>
      <c r="R116" s="32" t="s">
        <v>373</v>
      </c>
      <c r="S116" s="36" t="s">
        <v>5</v>
      </c>
      <c r="T116" s="1" t="s">
        <v>302</v>
      </c>
    </row>
    <row r="117" spans="2:20" ht="256.5">
      <c r="B117" s="20" t="s">
        <v>86</v>
      </c>
      <c r="C117" s="20" t="s">
        <v>86</v>
      </c>
      <c r="D117" s="20" t="s">
        <v>87</v>
      </c>
      <c r="E117" s="8" t="s">
        <v>88</v>
      </c>
      <c r="F117" s="40" t="s">
        <v>89</v>
      </c>
      <c r="G117" s="40" t="str">
        <f t="shared" si="4"/>
        <v>100-2025</v>
      </c>
      <c r="H117" s="32" t="s">
        <v>313</v>
      </c>
      <c r="I117" s="33">
        <v>1601795416</v>
      </c>
      <c r="J117" s="34">
        <v>46002</v>
      </c>
      <c r="K117" s="51" t="s">
        <v>344</v>
      </c>
      <c r="L117" s="35" t="s">
        <v>310</v>
      </c>
      <c r="M117" s="35" t="s">
        <v>2</v>
      </c>
      <c r="N117" s="32" t="s">
        <v>314</v>
      </c>
      <c r="O117" s="33"/>
      <c r="P117" s="33">
        <f t="shared" si="5"/>
        <v>1601795416</v>
      </c>
      <c r="Q117" s="36" t="s">
        <v>9</v>
      </c>
      <c r="R117" s="32" t="s">
        <v>373</v>
      </c>
      <c r="S117" s="36" t="s">
        <v>5</v>
      </c>
      <c r="T117" s="1" t="s">
        <v>302</v>
      </c>
    </row>
    <row r="118" spans="2:20" ht="256.5">
      <c r="B118" s="20" t="s">
        <v>86</v>
      </c>
      <c r="C118" s="20" t="s">
        <v>86</v>
      </c>
      <c r="D118" s="20" t="s">
        <v>87</v>
      </c>
      <c r="E118" s="8" t="s">
        <v>88</v>
      </c>
      <c r="F118" s="40" t="s">
        <v>89</v>
      </c>
      <c r="G118" s="40" t="str">
        <f t="shared" si="4"/>
        <v>101-2025</v>
      </c>
      <c r="H118" s="32" t="s">
        <v>315</v>
      </c>
      <c r="I118" s="33">
        <v>43884520</v>
      </c>
      <c r="J118" s="34">
        <v>45995</v>
      </c>
      <c r="K118" s="70">
        <v>46022</v>
      </c>
      <c r="L118" s="35" t="s">
        <v>317</v>
      </c>
      <c r="M118" s="35" t="s">
        <v>2</v>
      </c>
      <c r="N118" s="32" t="s">
        <v>316</v>
      </c>
      <c r="O118" s="33">
        <v>43884520</v>
      </c>
      <c r="P118" s="33">
        <f t="shared" si="5"/>
        <v>0</v>
      </c>
      <c r="Q118" s="36" t="s">
        <v>208</v>
      </c>
      <c r="R118" s="32" t="s">
        <v>373</v>
      </c>
      <c r="S118" s="36" t="s">
        <v>18</v>
      </c>
      <c r="T118" s="1" t="s">
        <v>302</v>
      </c>
    </row>
    <row r="119" spans="2:20" ht="256.5">
      <c r="B119" s="20" t="s">
        <v>86</v>
      </c>
      <c r="C119" s="20" t="s">
        <v>86</v>
      </c>
      <c r="D119" s="20" t="s">
        <v>87</v>
      </c>
      <c r="E119" s="8" t="s">
        <v>88</v>
      </c>
      <c r="F119" s="40" t="s">
        <v>89</v>
      </c>
      <c r="G119" s="40" t="str">
        <f t="shared" si="4"/>
        <v>102-2025</v>
      </c>
      <c r="H119" s="32" t="s">
        <v>318</v>
      </c>
      <c r="I119" s="33">
        <v>196000000</v>
      </c>
      <c r="J119" s="34">
        <v>45994</v>
      </c>
      <c r="K119" s="34">
        <v>46022</v>
      </c>
      <c r="L119" s="35" t="s">
        <v>310</v>
      </c>
      <c r="M119" s="35" t="s">
        <v>2</v>
      </c>
      <c r="N119" s="32" t="s">
        <v>272</v>
      </c>
      <c r="O119" s="33"/>
      <c r="P119" s="33">
        <f t="shared" si="5"/>
        <v>196000000</v>
      </c>
      <c r="Q119" s="36" t="s">
        <v>9</v>
      </c>
      <c r="R119" s="32" t="s">
        <v>373</v>
      </c>
      <c r="S119" s="36" t="s">
        <v>5</v>
      </c>
      <c r="T119" s="1" t="s">
        <v>302</v>
      </c>
    </row>
    <row r="120" spans="2:20" ht="256.5">
      <c r="B120" s="20" t="s">
        <v>86</v>
      </c>
      <c r="C120" s="20" t="s">
        <v>86</v>
      </c>
      <c r="D120" s="20" t="s">
        <v>87</v>
      </c>
      <c r="E120" s="8" t="s">
        <v>88</v>
      </c>
      <c r="F120" s="40" t="s">
        <v>89</v>
      </c>
      <c r="G120" s="40" t="str">
        <f t="shared" si="4"/>
        <v>103-2025</v>
      </c>
      <c r="H120" s="32" t="s">
        <v>319</v>
      </c>
      <c r="I120" s="33">
        <v>66782636</v>
      </c>
      <c r="J120" s="34">
        <v>45994</v>
      </c>
      <c r="K120" s="34">
        <v>46022</v>
      </c>
      <c r="L120" s="35" t="s">
        <v>310</v>
      </c>
      <c r="M120" s="35" t="s">
        <v>2</v>
      </c>
      <c r="N120" s="32" t="s">
        <v>320</v>
      </c>
      <c r="O120" s="33"/>
      <c r="P120" s="33">
        <f t="shared" si="5"/>
        <v>66782636</v>
      </c>
      <c r="Q120" s="36" t="s">
        <v>9</v>
      </c>
      <c r="R120" s="32" t="s">
        <v>373</v>
      </c>
      <c r="S120" s="36" t="s">
        <v>5</v>
      </c>
      <c r="T120" s="1" t="s">
        <v>302</v>
      </c>
    </row>
    <row r="121" spans="2:20" ht="256.5">
      <c r="B121" s="20" t="s">
        <v>86</v>
      </c>
      <c r="C121" s="20" t="s">
        <v>86</v>
      </c>
      <c r="D121" s="20" t="s">
        <v>87</v>
      </c>
      <c r="E121" s="8" t="s">
        <v>88</v>
      </c>
      <c r="F121" s="40" t="s">
        <v>89</v>
      </c>
      <c r="G121" s="40" t="str">
        <f t="shared" si="4"/>
        <v>104-2025</v>
      </c>
      <c r="H121" s="32" t="s">
        <v>321</v>
      </c>
      <c r="I121" s="33">
        <v>26997565</v>
      </c>
      <c r="J121" s="34">
        <v>46006</v>
      </c>
      <c r="K121" s="34">
        <v>46022</v>
      </c>
      <c r="L121" s="35" t="s">
        <v>310</v>
      </c>
      <c r="M121" s="35" t="s">
        <v>2</v>
      </c>
      <c r="N121" s="32" t="s">
        <v>322</v>
      </c>
      <c r="O121" s="33"/>
      <c r="P121" s="33">
        <f t="shared" si="5"/>
        <v>26997565</v>
      </c>
      <c r="Q121" s="36" t="s">
        <v>9</v>
      </c>
      <c r="R121" s="32" t="s">
        <v>373</v>
      </c>
      <c r="S121" s="36" t="s">
        <v>5</v>
      </c>
      <c r="T121" s="1" t="s">
        <v>302</v>
      </c>
    </row>
    <row r="122" spans="2:20" ht="256.5">
      <c r="B122" s="20" t="s">
        <v>86</v>
      </c>
      <c r="C122" s="20" t="s">
        <v>86</v>
      </c>
      <c r="D122" s="20" t="s">
        <v>87</v>
      </c>
      <c r="E122" s="8" t="s">
        <v>88</v>
      </c>
      <c r="F122" s="40" t="s">
        <v>89</v>
      </c>
      <c r="G122" s="40" t="str">
        <f t="shared" si="4"/>
        <v>105-2025</v>
      </c>
      <c r="H122" s="32" t="s">
        <v>323</v>
      </c>
      <c r="I122" s="33">
        <v>26997565</v>
      </c>
      <c r="J122" s="34">
        <v>46003</v>
      </c>
      <c r="K122" s="35" t="s">
        <v>324</v>
      </c>
      <c r="L122" s="35" t="s">
        <v>326</v>
      </c>
      <c r="M122" s="35" t="s">
        <v>2</v>
      </c>
      <c r="N122" s="32" t="s">
        <v>325</v>
      </c>
      <c r="O122" s="33"/>
      <c r="P122" s="33">
        <f t="shared" si="5"/>
        <v>26997565</v>
      </c>
      <c r="Q122" s="36" t="s">
        <v>9</v>
      </c>
      <c r="R122" s="32" t="s">
        <v>373</v>
      </c>
      <c r="S122" s="36" t="s">
        <v>5</v>
      </c>
      <c r="T122" s="1" t="s">
        <v>302</v>
      </c>
    </row>
    <row r="123" spans="2:20" ht="256.5">
      <c r="B123" s="20" t="s">
        <v>86</v>
      </c>
      <c r="C123" s="20" t="s">
        <v>86</v>
      </c>
      <c r="D123" s="20" t="s">
        <v>87</v>
      </c>
      <c r="E123" s="8" t="s">
        <v>88</v>
      </c>
      <c r="F123" s="40" t="s">
        <v>89</v>
      </c>
      <c r="G123" s="40" t="str">
        <f t="shared" si="4"/>
        <v>106-2025</v>
      </c>
      <c r="H123" s="32" t="s">
        <v>327</v>
      </c>
      <c r="I123" s="33">
        <v>6822516685.6999998</v>
      </c>
      <c r="J123" s="34">
        <v>46000</v>
      </c>
      <c r="K123" s="34">
        <v>46151</v>
      </c>
      <c r="L123" s="32" t="s">
        <v>317</v>
      </c>
      <c r="M123" s="35" t="s">
        <v>2</v>
      </c>
      <c r="N123" s="32" t="s">
        <v>328</v>
      </c>
      <c r="O123" s="33"/>
      <c r="P123" s="33">
        <f t="shared" si="5"/>
        <v>6822516685.6999998</v>
      </c>
      <c r="Q123" s="36" t="s">
        <v>9</v>
      </c>
      <c r="R123" s="32" t="s">
        <v>373</v>
      </c>
      <c r="S123" s="36" t="s">
        <v>5</v>
      </c>
      <c r="T123" s="1" t="s">
        <v>302</v>
      </c>
    </row>
    <row r="124" spans="2:20" ht="256.5">
      <c r="B124" s="20" t="s">
        <v>86</v>
      </c>
      <c r="C124" s="20" t="s">
        <v>86</v>
      </c>
      <c r="D124" s="20" t="s">
        <v>87</v>
      </c>
      <c r="E124" s="8" t="s">
        <v>88</v>
      </c>
      <c r="F124" s="40" t="s">
        <v>89</v>
      </c>
      <c r="G124" s="40" t="str">
        <f t="shared" si="4"/>
        <v>107-2025</v>
      </c>
      <c r="H124" s="32" t="s">
        <v>329</v>
      </c>
      <c r="I124" s="33">
        <v>114194260</v>
      </c>
      <c r="J124" s="34">
        <v>46002</v>
      </c>
      <c r="K124" s="34">
        <v>46153</v>
      </c>
      <c r="L124" s="32" t="s">
        <v>331</v>
      </c>
      <c r="M124" s="32" t="s">
        <v>2</v>
      </c>
      <c r="N124" s="32" t="s">
        <v>330</v>
      </c>
      <c r="O124" s="33"/>
      <c r="P124" s="33">
        <f t="shared" si="5"/>
        <v>114194260</v>
      </c>
      <c r="Q124" s="36" t="s">
        <v>9</v>
      </c>
      <c r="R124" s="32" t="s">
        <v>373</v>
      </c>
      <c r="S124" s="36" t="s">
        <v>5</v>
      </c>
      <c r="T124" s="1" t="s">
        <v>302</v>
      </c>
    </row>
    <row r="125" spans="2:20" ht="256.5">
      <c r="B125" s="20" t="s">
        <v>86</v>
      </c>
      <c r="C125" s="20" t="s">
        <v>86</v>
      </c>
      <c r="D125" s="20" t="s">
        <v>87</v>
      </c>
      <c r="E125" s="8" t="s">
        <v>88</v>
      </c>
      <c r="F125" s="40" t="s">
        <v>89</v>
      </c>
      <c r="G125" s="40" t="str">
        <f t="shared" si="4"/>
        <v>108-2025</v>
      </c>
      <c r="H125" s="32" t="s">
        <v>332</v>
      </c>
      <c r="I125" s="33">
        <v>346428000</v>
      </c>
      <c r="J125" s="35"/>
      <c r="K125" s="34">
        <v>46022</v>
      </c>
      <c r="L125" s="32" t="s">
        <v>333</v>
      </c>
      <c r="M125" s="35" t="s">
        <v>2</v>
      </c>
      <c r="N125" s="32" t="s">
        <v>334</v>
      </c>
      <c r="O125" s="33"/>
      <c r="P125" s="33">
        <f t="shared" si="5"/>
        <v>346428000</v>
      </c>
      <c r="Q125" s="36" t="s">
        <v>9</v>
      </c>
      <c r="R125" s="32" t="s">
        <v>373</v>
      </c>
      <c r="S125" s="36" t="s">
        <v>0</v>
      </c>
      <c r="T125" s="1" t="s">
        <v>302</v>
      </c>
    </row>
    <row r="126" spans="2:20" ht="256.5">
      <c r="B126" s="20" t="s">
        <v>86</v>
      </c>
      <c r="C126" s="20" t="s">
        <v>86</v>
      </c>
      <c r="D126" s="20" t="s">
        <v>87</v>
      </c>
      <c r="E126" s="8" t="s">
        <v>88</v>
      </c>
      <c r="F126" s="40" t="s">
        <v>89</v>
      </c>
      <c r="G126" s="40" t="str">
        <f t="shared" si="4"/>
        <v>109-2025</v>
      </c>
      <c r="H126" s="32" t="s">
        <v>341</v>
      </c>
      <c r="I126" s="33">
        <v>4111363268</v>
      </c>
      <c r="J126" s="35"/>
      <c r="K126" s="34">
        <v>46133</v>
      </c>
      <c r="L126" s="35" t="s">
        <v>14</v>
      </c>
      <c r="M126" s="35" t="s">
        <v>336</v>
      </c>
      <c r="N126" s="32" t="s">
        <v>342</v>
      </c>
      <c r="O126" s="33"/>
      <c r="P126" s="33">
        <f t="shared" si="5"/>
        <v>4111363268</v>
      </c>
      <c r="Q126" s="36" t="s">
        <v>9</v>
      </c>
      <c r="R126" s="32" t="s">
        <v>373</v>
      </c>
      <c r="S126" s="36" t="s">
        <v>5</v>
      </c>
      <c r="T126" s="1" t="s">
        <v>302</v>
      </c>
    </row>
    <row r="127" spans="2:20" ht="256.5">
      <c r="B127" s="20" t="s">
        <v>86</v>
      </c>
      <c r="C127" s="20" t="s">
        <v>86</v>
      </c>
      <c r="D127" s="20" t="s">
        <v>87</v>
      </c>
      <c r="E127" s="8" t="s">
        <v>88</v>
      </c>
      <c r="F127" s="40" t="s">
        <v>89</v>
      </c>
      <c r="G127" s="40" t="str">
        <f t="shared" si="4"/>
        <v>110-2025</v>
      </c>
      <c r="H127" s="32" t="s">
        <v>335</v>
      </c>
      <c r="I127" s="33">
        <v>724255520</v>
      </c>
      <c r="J127" s="34">
        <v>46044</v>
      </c>
      <c r="K127" s="34">
        <v>46152</v>
      </c>
      <c r="L127" s="35" t="s">
        <v>326</v>
      </c>
      <c r="M127" s="35" t="s">
        <v>336</v>
      </c>
      <c r="N127" s="32" t="s">
        <v>337</v>
      </c>
      <c r="O127" s="33"/>
      <c r="P127" s="33">
        <f t="shared" si="5"/>
        <v>724255520</v>
      </c>
      <c r="Q127" s="36" t="s">
        <v>9</v>
      </c>
      <c r="R127" s="32" t="s">
        <v>373</v>
      </c>
      <c r="S127" s="36" t="s">
        <v>5</v>
      </c>
      <c r="T127" s="1" t="s">
        <v>302</v>
      </c>
    </row>
    <row r="128" spans="2:20" ht="256.5">
      <c r="B128" s="20" t="s">
        <v>86</v>
      </c>
      <c r="C128" s="20" t="s">
        <v>86</v>
      </c>
      <c r="D128" s="20" t="s">
        <v>87</v>
      </c>
      <c r="E128" s="8" t="s">
        <v>88</v>
      </c>
      <c r="F128" s="40" t="s">
        <v>89</v>
      </c>
      <c r="G128" s="40" t="str">
        <f t="shared" si="4"/>
        <v>111-2025</v>
      </c>
      <c r="H128" s="32" t="s">
        <v>338</v>
      </c>
      <c r="I128" s="33">
        <v>107199761</v>
      </c>
      <c r="J128" s="34">
        <v>46044</v>
      </c>
      <c r="K128" s="34">
        <v>46152</v>
      </c>
      <c r="L128" s="32" t="s">
        <v>340</v>
      </c>
      <c r="M128" s="35" t="s">
        <v>336</v>
      </c>
      <c r="N128" s="32" t="s">
        <v>339</v>
      </c>
      <c r="O128" s="33"/>
      <c r="P128" s="33">
        <f t="shared" si="5"/>
        <v>107199761</v>
      </c>
      <c r="Q128" s="36" t="s">
        <v>9</v>
      </c>
      <c r="R128" s="32" t="s">
        <v>373</v>
      </c>
      <c r="S128" s="36" t="s">
        <v>5</v>
      </c>
      <c r="T128" s="1" t="s">
        <v>302</v>
      </c>
    </row>
    <row r="129" spans="7:18" ht="14.25">
      <c r="G129" s="50"/>
      <c r="I129" s="3">
        <f>SUM(I18:I128)</f>
        <v>79962394142.070007</v>
      </c>
      <c r="K129" s="1"/>
      <c r="P129" s="55"/>
      <c r="R129" s="32"/>
    </row>
    <row r="130" spans="7:18">
      <c r="G130" s="50"/>
      <c r="P130" s="55"/>
    </row>
    <row r="131" spans="7:18">
      <c r="G131" s="50"/>
      <c r="I131" s="73"/>
    </row>
    <row r="132" spans="7:18">
      <c r="G132" s="50"/>
      <c r="I132" s="73"/>
    </row>
    <row r="133" spans="7:18">
      <c r="G133" s="50"/>
    </row>
    <row r="134" spans="7:18">
      <c r="G134" s="50"/>
    </row>
    <row r="135" spans="7:18">
      <c r="G135" s="50"/>
    </row>
    <row r="136" spans="7:18">
      <c r="G136" s="50"/>
    </row>
    <row r="137" spans="7:18">
      <c r="G137" s="50"/>
    </row>
    <row r="138" spans="7:18">
      <c r="G138" s="50"/>
    </row>
    <row r="139" spans="7:18">
      <c r="G139" s="50"/>
    </row>
    <row r="140" spans="7:18">
      <c r="G140" s="50"/>
    </row>
    <row r="141" spans="7:18">
      <c r="G141" s="50"/>
    </row>
    <row r="142" spans="7:18">
      <c r="G142" s="50"/>
    </row>
    <row r="143" spans="7:18">
      <c r="G143" s="50"/>
    </row>
    <row r="144" spans="7:18">
      <c r="G144" s="50"/>
    </row>
    <row r="145" spans="7:7">
      <c r="G145" s="50"/>
    </row>
    <row r="146" spans="7:7">
      <c r="G146" s="50"/>
    </row>
    <row r="147" spans="7:7">
      <c r="G147" s="50"/>
    </row>
    <row r="148" spans="7:7">
      <c r="G148" s="50"/>
    </row>
    <row r="149" spans="7:7">
      <c r="G149" s="50"/>
    </row>
    <row r="150" spans="7:7">
      <c r="G150" s="50"/>
    </row>
    <row r="151" spans="7:7">
      <c r="G151" s="50"/>
    </row>
    <row r="152" spans="7:7">
      <c r="G152" s="50"/>
    </row>
    <row r="153" spans="7:7">
      <c r="G153" s="50"/>
    </row>
    <row r="154" spans="7:7">
      <c r="G154" s="49"/>
    </row>
    <row r="155" spans="7:7">
      <c r="G155" s="49"/>
    </row>
    <row r="156" spans="7:7">
      <c r="G156" s="49"/>
    </row>
  </sheetData>
  <autoFilter ref="A17:T129"/>
  <mergeCells count="26">
    <mergeCell ref="L15:L16"/>
    <mergeCell ref="N15:N16"/>
    <mergeCell ref="O15:O16"/>
    <mergeCell ref="P15:P16"/>
    <mergeCell ref="Q15:Q16"/>
    <mergeCell ref="B15:B16"/>
    <mergeCell ref="C15:C16"/>
    <mergeCell ref="D15:D16"/>
    <mergeCell ref="E15:E16"/>
    <mergeCell ref="F15:F16"/>
    <mergeCell ref="S15:S16"/>
    <mergeCell ref="G8:J8"/>
    <mergeCell ref="C11:F11"/>
    <mergeCell ref="G11:J11"/>
    <mergeCell ref="C9:F9"/>
    <mergeCell ref="G9:J9"/>
    <mergeCell ref="C10:F10"/>
    <mergeCell ref="G10:J10"/>
    <mergeCell ref="M15:M16"/>
    <mergeCell ref="C12:F12"/>
    <mergeCell ref="C13:F13"/>
    <mergeCell ref="G15:G16"/>
    <mergeCell ref="H15:H16"/>
    <mergeCell ref="I15:I16"/>
    <mergeCell ref="J15:K15"/>
    <mergeCell ref="R15:R16"/>
  </mergeCells>
  <phoneticPr fontId="10" type="noConversion"/>
  <hyperlinks>
    <hyperlink ref="C13" r:id="rId1"/>
  </hyperlinks>
  <pageMargins left="0.23622047244094491" right="0.23622047244094491" top="0.74803149606299213" bottom="0.74803149606299213" header="0.31496062992125984" footer="0.31496062992125984"/>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8:T55"/>
  <sheetViews>
    <sheetView topLeftCell="A52" zoomScale="55" zoomScaleNormal="55" workbookViewId="0">
      <selection activeCell="A17" sqref="A17:S55"/>
    </sheetView>
  </sheetViews>
  <sheetFormatPr baseColWidth="10" defaultColWidth="11.375" defaultRowHeight="14.25"/>
  <cols>
    <col min="1" max="1" width="2.25" style="1" customWidth="1"/>
    <col min="2" max="2" width="20.875" style="1" customWidth="1"/>
    <col min="3" max="3" width="17.375" style="1" customWidth="1"/>
    <col min="4" max="4" width="26.375" style="6" customWidth="1"/>
    <col min="5" max="5" width="22.125" style="6" customWidth="1"/>
    <col min="6" max="6" width="20.25" style="6" customWidth="1"/>
    <col min="7" max="7" width="18.625" style="5" customWidth="1"/>
    <col min="8" max="8" width="21.875" style="4" customWidth="1"/>
    <col min="9" max="9" width="21.875" style="3" customWidth="1"/>
    <col min="10" max="10" width="19.75" style="1" customWidth="1"/>
    <col min="11" max="11" width="15.75" style="1" customWidth="1"/>
    <col min="12" max="12" width="21.125" style="1" customWidth="1"/>
    <col min="13" max="13" width="19.875" style="1" customWidth="1"/>
    <col min="14" max="14" width="23.375" style="1" bestFit="1" customWidth="1"/>
    <col min="15" max="15" width="21.625" style="3" customWidth="1"/>
    <col min="16" max="16" width="25.25" style="3" customWidth="1"/>
    <col min="17" max="17" width="17.75" style="1" customWidth="1"/>
    <col min="18" max="18" width="24" style="1" customWidth="1"/>
    <col min="19" max="19" width="11.375" style="2"/>
    <col min="20" max="16384" width="11.375" style="1"/>
  </cols>
  <sheetData>
    <row r="8" spans="2:19" customFormat="1" ht="20.25">
      <c r="G8" s="105" t="s">
        <v>85</v>
      </c>
      <c r="H8" s="105"/>
      <c r="I8" s="105"/>
      <c r="O8" s="15"/>
      <c r="P8" s="15"/>
      <c r="S8" s="14"/>
    </row>
    <row r="9" spans="2:19" ht="15" customHeight="1">
      <c r="B9" s="18" t="s">
        <v>84</v>
      </c>
      <c r="C9" s="86" t="s">
        <v>274</v>
      </c>
      <c r="D9" s="87"/>
      <c r="E9" s="87"/>
      <c r="F9" s="88"/>
      <c r="G9" s="103" t="s">
        <v>83</v>
      </c>
      <c r="H9" s="104"/>
      <c r="I9" s="104"/>
      <c r="J9" s="104"/>
    </row>
    <row r="10" spans="2:19" ht="15" customHeight="1">
      <c r="B10" s="18" t="s">
        <v>82</v>
      </c>
      <c r="C10" s="86" t="s">
        <v>81</v>
      </c>
      <c r="D10" s="87"/>
      <c r="E10" s="87"/>
      <c r="F10" s="88"/>
      <c r="G10" s="103" t="s">
        <v>80</v>
      </c>
      <c r="H10" s="104"/>
      <c r="I10" s="104"/>
      <c r="J10" s="104"/>
    </row>
    <row r="11" spans="2:19" ht="15" customHeight="1">
      <c r="B11" s="18" t="s">
        <v>79</v>
      </c>
      <c r="C11" s="86" t="s">
        <v>78</v>
      </c>
      <c r="D11" s="87"/>
      <c r="E11" s="87"/>
      <c r="F11" s="88"/>
      <c r="G11" s="103" t="s">
        <v>77</v>
      </c>
      <c r="H11" s="104"/>
      <c r="I11" s="104"/>
      <c r="J11" s="104"/>
    </row>
    <row r="12" spans="2:19" ht="15">
      <c r="B12" s="18" t="s">
        <v>76</v>
      </c>
      <c r="C12" s="86">
        <v>3122603704</v>
      </c>
      <c r="D12" s="87"/>
      <c r="E12" s="87"/>
      <c r="F12" s="88"/>
      <c r="G12" s="10"/>
      <c r="H12" s="10"/>
      <c r="I12" s="17"/>
      <c r="J12" s="10"/>
    </row>
    <row r="13" spans="2:19" ht="15">
      <c r="B13" s="18" t="s">
        <v>75</v>
      </c>
      <c r="C13" s="92" t="s">
        <v>74</v>
      </c>
      <c r="D13" s="87"/>
      <c r="E13" s="87"/>
      <c r="F13" s="88"/>
      <c r="G13" s="10"/>
      <c r="H13" s="10"/>
      <c r="I13" s="17"/>
      <c r="J13" s="10"/>
    </row>
    <row r="14" spans="2:19" customFormat="1">
      <c r="H14" s="16"/>
      <c r="I14" s="15"/>
      <c r="O14" s="15"/>
      <c r="P14" s="15"/>
      <c r="S14" s="14"/>
    </row>
    <row r="15" spans="2:19" s="11" customFormat="1" ht="15.75" customHeight="1">
      <c r="B15" s="99" t="s">
        <v>73</v>
      </c>
      <c r="C15" s="99" t="s">
        <v>72</v>
      </c>
      <c r="D15" s="99" t="s">
        <v>71</v>
      </c>
      <c r="E15" s="99" t="s">
        <v>70</v>
      </c>
      <c r="F15" s="93" t="s">
        <v>69</v>
      </c>
      <c r="G15" s="93" t="s">
        <v>68</v>
      </c>
      <c r="H15" s="95" t="s">
        <v>67</v>
      </c>
      <c r="I15" s="97" t="s">
        <v>66</v>
      </c>
      <c r="J15" s="95" t="s">
        <v>65</v>
      </c>
      <c r="K15" s="95"/>
      <c r="L15" s="83" t="s">
        <v>64</v>
      </c>
      <c r="M15" s="90" t="s">
        <v>63</v>
      </c>
      <c r="N15" s="83" t="s">
        <v>62</v>
      </c>
      <c r="O15" s="101" t="s">
        <v>61</v>
      </c>
      <c r="P15" s="101" t="s">
        <v>60</v>
      </c>
      <c r="Q15" s="83" t="s">
        <v>59</v>
      </c>
      <c r="R15" s="83" t="s">
        <v>58</v>
      </c>
      <c r="S15" s="12"/>
    </row>
    <row r="16" spans="2:19" s="11" customFormat="1" ht="15.75">
      <c r="B16" s="99"/>
      <c r="C16" s="99"/>
      <c r="D16" s="99"/>
      <c r="E16" s="99"/>
      <c r="F16" s="93"/>
      <c r="G16" s="93"/>
      <c r="H16" s="95"/>
      <c r="I16" s="97"/>
      <c r="J16" s="13" t="s">
        <v>57</v>
      </c>
      <c r="K16" s="13" t="s">
        <v>56</v>
      </c>
      <c r="L16" s="83"/>
      <c r="M16" s="90"/>
      <c r="N16" s="83"/>
      <c r="O16" s="101"/>
      <c r="P16" s="101"/>
      <c r="Q16" s="83"/>
      <c r="R16" s="83"/>
      <c r="S16" s="12"/>
    </row>
    <row r="17" spans="1:20" s="30" customFormat="1" ht="198.75" customHeight="1">
      <c r="A17" s="1"/>
      <c r="B17" s="20" t="s">
        <v>86</v>
      </c>
      <c r="C17" s="20" t="s">
        <v>86</v>
      </c>
      <c r="D17" s="20" t="s">
        <v>87</v>
      </c>
      <c r="E17" s="8" t="s">
        <v>88</v>
      </c>
      <c r="F17" s="8" t="s">
        <v>89</v>
      </c>
      <c r="G17" s="8" t="s">
        <v>374</v>
      </c>
      <c r="H17" s="8" t="s">
        <v>90</v>
      </c>
      <c r="I17" s="21">
        <v>888639388</v>
      </c>
      <c r="J17" s="20" t="s">
        <v>91</v>
      </c>
      <c r="K17" s="69" t="s">
        <v>92</v>
      </c>
      <c r="L17" s="75" t="s">
        <v>7</v>
      </c>
      <c r="M17" s="38" t="s">
        <v>2</v>
      </c>
      <c r="N17" s="37" t="s">
        <v>93</v>
      </c>
      <c r="O17" s="21">
        <v>888008363</v>
      </c>
      <c r="P17" s="21">
        <v>631025</v>
      </c>
      <c r="Q17" s="36" t="s">
        <v>208</v>
      </c>
      <c r="R17" s="32" t="s">
        <v>349</v>
      </c>
      <c r="S17" s="56" t="s">
        <v>18</v>
      </c>
      <c r="T17" s="30" t="s">
        <v>302</v>
      </c>
    </row>
    <row r="18" spans="1:20" s="30" customFormat="1" ht="342">
      <c r="A18" s="1"/>
      <c r="B18" s="20" t="s">
        <v>86</v>
      </c>
      <c r="C18" s="20" t="s">
        <v>86</v>
      </c>
      <c r="D18" s="20" t="s">
        <v>87</v>
      </c>
      <c r="E18" s="8" t="s">
        <v>88</v>
      </c>
      <c r="F18" s="8" t="s">
        <v>89</v>
      </c>
      <c r="G18" s="8" t="s">
        <v>375</v>
      </c>
      <c r="H18" s="58" t="s">
        <v>97</v>
      </c>
      <c r="I18" s="21">
        <v>41047500</v>
      </c>
      <c r="J18" s="8" t="s">
        <v>98</v>
      </c>
      <c r="K18" s="69" t="s">
        <v>99</v>
      </c>
      <c r="L18" s="37" t="s">
        <v>3</v>
      </c>
      <c r="M18" s="38" t="s">
        <v>2</v>
      </c>
      <c r="N18" s="37" t="s">
        <v>100</v>
      </c>
      <c r="O18" s="21">
        <v>41047500</v>
      </c>
      <c r="P18" s="21">
        <v>0</v>
      </c>
      <c r="Q18" s="36" t="s">
        <v>273</v>
      </c>
      <c r="R18" s="32" t="s">
        <v>351</v>
      </c>
      <c r="S18" s="36" t="s">
        <v>18</v>
      </c>
    </row>
    <row r="19" spans="1:20" s="30" customFormat="1" ht="342">
      <c r="A19" s="1"/>
      <c r="B19" s="20" t="s">
        <v>86</v>
      </c>
      <c r="C19" s="20" t="s">
        <v>86</v>
      </c>
      <c r="D19" s="20" t="s">
        <v>87</v>
      </c>
      <c r="E19" s="8" t="s">
        <v>88</v>
      </c>
      <c r="F19" s="8" t="s">
        <v>89</v>
      </c>
      <c r="G19" s="8" t="s">
        <v>376</v>
      </c>
      <c r="H19" s="43" t="s">
        <v>101</v>
      </c>
      <c r="I19" s="21">
        <v>29731020</v>
      </c>
      <c r="J19" s="8" t="s">
        <v>102</v>
      </c>
      <c r="K19" s="69" t="s">
        <v>99</v>
      </c>
      <c r="L19" s="37" t="s">
        <v>3</v>
      </c>
      <c r="M19" s="38" t="s">
        <v>2</v>
      </c>
      <c r="N19" s="37" t="s">
        <v>103</v>
      </c>
      <c r="O19" s="21">
        <v>29731020</v>
      </c>
      <c r="P19" s="21">
        <v>0</v>
      </c>
      <c r="Q19" s="36" t="s">
        <v>273</v>
      </c>
      <c r="R19" s="32" t="s">
        <v>352</v>
      </c>
      <c r="S19" s="36" t="s">
        <v>18</v>
      </c>
    </row>
    <row r="20" spans="1:20" s="30" customFormat="1" ht="197.25" customHeight="1">
      <c r="A20" s="1"/>
      <c r="B20" s="20" t="s">
        <v>86</v>
      </c>
      <c r="C20" s="20" t="s">
        <v>86</v>
      </c>
      <c r="D20" s="20" t="s">
        <v>87</v>
      </c>
      <c r="E20" s="8" t="s">
        <v>88</v>
      </c>
      <c r="F20" s="8" t="s">
        <v>89</v>
      </c>
      <c r="G20" s="8" t="s">
        <v>377</v>
      </c>
      <c r="H20" s="57" t="s">
        <v>104</v>
      </c>
      <c r="I20" s="21">
        <v>32522250</v>
      </c>
      <c r="J20" s="8" t="s">
        <v>98</v>
      </c>
      <c r="K20" s="69" t="s">
        <v>99</v>
      </c>
      <c r="L20" s="37" t="s">
        <v>3</v>
      </c>
      <c r="M20" s="38" t="s">
        <v>2</v>
      </c>
      <c r="N20" s="37" t="s">
        <v>105</v>
      </c>
      <c r="O20" s="21">
        <v>32522250</v>
      </c>
      <c r="P20" s="21">
        <v>0</v>
      </c>
      <c r="Q20" s="36" t="s">
        <v>273</v>
      </c>
      <c r="R20" s="32" t="s">
        <v>353</v>
      </c>
      <c r="S20" s="36" t="s">
        <v>18</v>
      </c>
    </row>
    <row r="21" spans="1:20" s="30" customFormat="1" ht="185.25" customHeight="1">
      <c r="A21" s="1"/>
      <c r="B21" s="20" t="s">
        <v>86</v>
      </c>
      <c r="C21" s="20" t="s">
        <v>86</v>
      </c>
      <c r="D21" s="20" t="s">
        <v>87</v>
      </c>
      <c r="E21" s="8" t="s">
        <v>88</v>
      </c>
      <c r="F21" s="8" t="s">
        <v>89</v>
      </c>
      <c r="G21" s="8" t="s">
        <v>378</v>
      </c>
      <c r="H21" s="8" t="s">
        <v>106</v>
      </c>
      <c r="I21" s="21">
        <v>18700000</v>
      </c>
      <c r="J21" s="8" t="s">
        <v>98</v>
      </c>
      <c r="K21" s="69" t="s">
        <v>99</v>
      </c>
      <c r="L21" s="37" t="s">
        <v>3</v>
      </c>
      <c r="M21" s="38" t="s">
        <v>2</v>
      </c>
      <c r="N21" s="42" t="s">
        <v>107</v>
      </c>
      <c r="O21" s="21">
        <v>18700000</v>
      </c>
      <c r="P21" s="21">
        <v>0</v>
      </c>
      <c r="Q21" s="36" t="s">
        <v>273</v>
      </c>
      <c r="R21" s="32" t="s">
        <v>354</v>
      </c>
      <c r="S21" s="36" t="s">
        <v>18</v>
      </c>
    </row>
    <row r="22" spans="1:20" s="30" customFormat="1" ht="342">
      <c r="A22" s="1"/>
      <c r="B22" s="20" t="s">
        <v>86</v>
      </c>
      <c r="C22" s="20" t="s">
        <v>86</v>
      </c>
      <c r="D22" s="20" t="s">
        <v>87</v>
      </c>
      <c r="E22" s="8" t="s">
        <v>88</v>
      </c>
      <c r="F22" s="8" t="s">
        <v>89</v>
      </c>
      <c r="G22" s="8" t="s">
        <v>379</v>
      </c>
      <c r="H22" s="8" t="s">
        <v>142</v>
      </c>
      <c r="I22" s="21">
        <v>15375140</v>
      </c>
      <c r="J22" s="8" t="s">
        <v>98</v>
      </c>
      <c r="K22" s="69" t="s">
        <v>99</v>
      </c>
      <c r="L22" s="37" t="s">
        <v>3</v>
      </c>
      <c r="M22" s="38" t="s">
        <v>2</v>
      </c>
      <c r="N22" s="42" t="s">
        <v>348</v>
      </c>
      <c r="O22" s="21">
        <v>15375140</v>
      </c>
      <c r="P22" s="21">
        <v>0</v>
      </c>
      <c r="Q22" s="36" t="s">
        <v>273</v>
      </c>
      <c r="R22" s="32" t="s">
        <v>355</v>
      </c>
      <c r="S22" s="36" t="s">
        <v>18</v>
      </c>
    </row>
    <row r="23" spans="1:20" s="30" customFormat="1" ht="192.75" customHeight="1">
      <c r="A23" s="1"/>
      <c r="B23" s="20" t="s">
        <v>86</v>
      </c>
      <c r="C23" s="20" t="s">
        <v>86</v>
      </c>
      <c r="D23" s="20" t="s">
        <v>87</v>
      </c>
      <c r="E23" s="8" t="s">
        <v>88</v>
      </c>
      <c r="F23" s="8" t="s">
        <v>89</v>
      </c>
      <c r="G23" s="8" t="s">
        <v>380</v>
      </c>
      <c r="H23" s="8" t="s">
        <v>108</v>
      </c>
      <c r="I23" s="21">
        <v>21013162</v>
      </c>
      <c r="J23" s="8" t="s">
        <v>109</v>
      </c>
      <c r="K23" s="69" t="s">
        <v>99</v>
      </c>
      <c r="L23" s="37" t="s">
        <v>3</v>
      </c>
      <c r="M23" s="38" t="s">
        <v>2</v>
      </c>
      <c r="N23" s="37" t="s">
        <v>110</v>
      </c>
      <c r="O23" s="21">
        <v>21013162</v>
      </c>
      <c r="P23" s="21">
        <v>0</v>
      </c>
      <c r="Q23" s="36" t="s">
        <v>273</v>
      </c>
      <c r="R23" s="32" t="s">
        <v>356</v>
      </c>
      <c r="S23" s="36" t="s">
        <v>18</v>
      </c>
    </row>
    <row r="24" spans="1:20" s="30" customFormat="1" ht="189" customHeight="1">
      <c r="A24" s="1"/>
      <c r="B24" s="20" t="s">
        <v>86</v>
      </c>
      <c r="C24" s="20" t="s">
        <v>86</v>
      </c>
      <c r="D24" s="20" t="s">
        <v>87</v>
      </c>
      <c r="E24" s="8" t="s">
        <v>88</v>
      </c>
      <c r="F24" s="8" t="s">
        <v>89</v>
      </c>
      <c r="G24" s="8" t="s">
        <v>381</v>
      </c>
      <c r="H24" s="43" t="s">
        <v>111</v>
      </c>
      <c r="I24" s="21">
        <v>12885968</v>
      </c>
      <c r="J24" s="8" t="s">
        <v>112</v>
      </c>
      <c r="K24" s="69" t="s">
        <v>99</v>
      </c>
      <c r="L24" s="37" t="s">
        <v>3</v>
      </c>
      <c r="M24" s="38" t="s">
        <v>2</v>
      </c>
      <c r="N24" s="37" t="s">
        <v>113</v>
      </c>
      <c r="O24" s="21">
        <v>12885968</v>
      </c>
      <c r="P24" s="21">
        <v>0</v>
      </c>
      <c r="Q24" s="36" t="s">
        <v>273</v>
      </c>
      <c r="R24" s="32" t="s">
        <v>357</v>
      </c>
      <c r="S24" s="36" t="s">
        <v>18</v>
      </c>
    </row>
    <row r="25" spans="1:20" s="30" customFormat="1" ht="192" customHeight="1">
      <c r="A25" s="1"/>
      <c r="B25" s="20" t="s">
        <v>86</v>
      </c>
      <c r="C25" s="20" t="s">
        <v>86</v>
      </c>
      <c r="D25" s="20" t="s">
        <v>87</v>
      </c>
      <c r="E25" s="8" t="s">
        <v>88</v>
      </c>
      <c r="F25" s="8" t="s">
        <v>89</v>
      </c>
      <c r="G25" s="8" t="s">
        <v>382</v>
      </c>
      <c r="H25" s="41" t="s">
        <v>114</v>
      </c>
      <c r="I25" s="22">
        <v>14000000</v>
      </c>
      <c r="J25" s="8" t="s">
        <v>115</v>
      </c>
      <c r="K25" s="69" t="s">
        <v>116</v>
      </c>
      <c r="L25" s="37" t="s">
        <v>3</v>
      </c>
      <c r="M25" s="38" t="s">
        <v>2</v>
      </c>
      <c r="N25" s="37" t="s">
        <v>117</v>
      </c>
      <c r="O25" s="21">
        <v>11749822</v>
      </c>
      <c r="P25" s="21">
        <v>2250178</v>
      </c>
      <c r="Q25" s="36" t="s">
        <v>9</v>
      </c>
      <c r="R25" s="32" t="s">
        <v>361</v>
      </c>
      <c r="S25" s="36" t="s">
        <v>18</v>
      </c>
    </row>
    <row r="26" spans="1:20" s="30" customFormat="1" ht="192" customHeight="1">
      <c r="A26" s="1"/>
      <c r="B26" s="20" t="s">
        <v>86</v>
      </c>
      <c r="C26" s="20" t="s">
        <v>86</v>
      </c>
      <c r="D26" s="20" t="s">
        <v>87</v>
      </c>
      <c r="E26" s="8" t="s">
        <v>88</v>
      </c>
      <c r="F26" s="8" t="s">
        <v>89</v>
      </c>
      <c r="G26" s="8" t="s">
        <v>383</v>
      </c>
      <c r="H26" s="8" t="s">
        <v>118</v>
      </c>
      <c r="I26" s="21">
        <v>30619609</v>
      </c>
      <c r="J26" s="8" t="s">
        <v>119</v>
      </c>
      <c r="K26" s="69" t="s">
        <v>116</v>
      </c>
      <c r="L26" s="37" t="s">
        <v>3</v>
      </c>
      <c r="M26" s="38" t="s">
        <v>2</v>
      </c>
      <c r="N26" s="37" t="s">
        <v>120</v>
      </c>
      <c r="O26" s="21">
        <v>20413072</v>
      </c>
      <c r="P26" s="21">
        <v>10206537</v>
      </c>
      <c r="Q26" s="36" t="s">
        <v>9</v>
      </c>
      <c r="R26" s="32" t="s">
        <v>361</v>
      </c>
      <c r="S26" s="36" t="s">
        <v>18</v>
      </c>
      <c r="T26" s="30" t="s">
        <v>302</v>
      </c>
    </row>
    <row r="27" spans="1:20" s="48" customFormat="1" ht="313.5">
      <c r="A27" s="1"/>
      <c r="B27" s="20" t="s">
        <v>86</v>
      </c>
      <c r="C27" s="20" t="s">
        <v>86</v>
      </c>
      <c r="D27" s="20" t="s">
        <v>87</v>
      </c>
      <c r="E27" s="8" t="s">
        <v>88</v>
      </c>
      <c r="F27" s="8" t="s">
        <v>89</v>
      </c>
      <c r="G27" s="8" t="s">
        <v>384</v>
      </c>
      <c r="H27" s="8" t="s">
        <v>121</v>
      </c>
      <c r="I27" s="21">
        <v>13977400</v>
      </c>
      <c r="J27" s="8" t="s">
        <v>122</v>
      </c>
      <c r="K27" s="69" t="s">
        <v>99</v>
      </c>
      <c r="L27" s="37" t="s">
        <v>3</v>
      </c>
      <c r="M27" s="38" t="s">
        <v>2</v>
      </c>
      <c r="N27" s="37" t="s">
        <v>123</v>
      </c>
      <c r="O27" s="21">
        <v>13977400</v>
      </c>
      <c r="P27" s="21">
        <v>0</v>
      </c>
      <c r="Q27" s="36" t="s">
        <v>273</v>
      </c>
      <c r="R27" s="32" t="s">
        <v>358</v>
      </c>
      <c r="S27" s="36" t="s">
        <v>18</v>
      </c>
    </row>
    <row r="28" spans="1:20" s="30" customFormat="1" ht="313.5">
      <c r="A28" s="1"/>
      <c r="B28" s="20" t="s">
        <v>86</v>
      </c>
      <c r="C28" s="20" t="s">
        <v>86</v>
      </c>
      <c r="D28" s="20" t="s">
        <v>87</v>
      </c>
      <c r="E28" s="8" t="s">
        <v>88</v>
      </c>
      <c r="F28" s="8" t="s">
        <v>89</v>
      </c>
      <c r="G28" s="8" t="s">
        <v>385</v>
      </c>
      <c r="H28" s="8" t="s">
        <v>124</v>
      </c>
      <c r="I28" s="21">
        <v>6367625</v>
      </c>
      <c r="J28" s="8" t="s">
        <v>125</v>
      </c>
      <c r="K28" s="69" t="s">
        <v>126</v>
      </c>
      <c r="L28" s="37" t="s">
        <v>3</v>
      </c>
      <c r="M28" s="38" t="s">
        <v>2</v>
      </c>
      <c r="N28" s="42" t="s">
        <v>127</v>
      </c>
      <c r="O28" s="21">
        <v>6367625</v>
      </c>
      <c r="P28" s="21">
        <v>0</v>
      </c>
      <c r="Q28" s="36" t="s">
        <v>208</v>
      </c>
      <c r="R28" s="32" t="s">
        <v>362</v>
      </c>
      <c r="S28" s="36" t="s">
        <v>18</v>
      </c>
    </row>
    <row r="29" spans="1:20" s="30" customFormat="1" ht="313.5">
      <c r="A29" s="1"/>
      <c r="B29" s="20" t="s">
        <v>86</v>
      </c>
      <c r="C29" s="20" t="s">
        <v>86</v>
      </c>
      <c r="D29" s="20" t="s">
        <v>87</v>
      </c>
      <c r="E29" s="8" t="s">
        <v>88</v>
      </c>
      <c r="F29" s="8" t="s">
        <v>89</v>
      </c>
      <c r="G29" s="8" t="s">
        <v>386</v>
      </c>
      <c r="H29" s="8" t="s">
        <v>128</v>
      </c>
      <c r="I29" s="21">
        <v>49489892</v>
      </c>
      <c r="J29" s="8" t="s">
        <v>129</v>
      </c>
      <c r="K29" s="69" t="s">
        <v>116</v>
      </c>
      <c r="L29" s="37" t="s">
        <v>3</v>
      </c>
      <c r="M29" s="38" t="s">
        <v>2</v>
      </c>
      <c r="N29" s="37" t="s">
        <v>130</v>
      </c>
      <c r="O29" s="21">
        <v>49479312.989999995</v>
      </c>
      <c r="P29" s="21">
        <v>10579.010000005364</v>
      </c>
      <c r="Q29" s="36" t="s">
        <v>208</v>
      </c>
      <c r="R29" s="32" t="s">
        <v>363</v>
      </c>
      <c r="S29" s="36" t="s">
        <v>18</v>
      </c>
      <c r="T29" s="30" t="s">
        <v>346</v>
      </c>
    </row>
    <row r="30" spans="1:20" s="30" customFormat="1" ht="256.5">
      <c r="A30" s="1"/>
      <c r="B30" s="20" t="s">
        <v>86</v>
      </c>
      <c r="C30" s="20" t="s">
        <v>86</v>
      </c>
      <c r="D30" s="20" t="s">
        <v>87</v>
      </c>
      <c r="E30" s="8" t="s">
        <v>88</v>
      </c>
      <c r="F30" s="8" t="s">
        <v>89</v>
      </c>
      <c r="G30" s="8" t="s">
        <v>387</v>
      </c>
      <c r="H30" s="43" t="s">
        <v>131</v>
      </c>
      <c r="I30" s="21">
        <v>15000000</v>
      </c>
      <c r="J30" s="8" t="s">
        <v>132</v>
      </c>
      <c r="K30" s="69" t="s">
        <v>116</v>
      </c>
      <c r="L30" s="37" t="s">
        <v>11</v>
      </c>
      <c r="M30" s="38" t="s">
        <v>2</v>
      </c>
      <c r="N30" s="37" t="s">
        <v>133</v>
      </c>
      <c r="O30" s="21">
        <v>14462480</v>
      </c>
      <c r="P30" s="21">
        <v>537520</v>
      </c>
      <c r="Q30" s="36" t="s">
        <v>9</v>
      </c>
      <c r="R30" s="32" t="s">
        <v>361</v>
      </c>
      <c r="S30" s="36" t="s">
        <v>18</v>
      </c>
      <c r="T30" s="30" t="s">
        <v>346</v>
      </c>
    </row>
    <row r="31" spans="1:20" ht="342">
      <c r="B31" s="20" t="s">
        <v>86</v>
      </c>
      <c r="C31" s="20" t="s">
        <v>86</v>
      </c>
      <c r="D31" s="20" t="s">
        <v>87</v>
      </c>
      <c r="E31" s="8" t="s">
        <v>88</v>
      </c>
      <c r="F31" s="8" t="s">
        <v>89</v>
      </c>
      <c r="G31" s="8" t="s">
        <v>388</v>
      </c>
      <c r="H31" s="7" t="s">
        <v>52</v>
      </c>
      <c r="I31" s="33">
        <v>14400000</v>
      </c>
      <c r="J31" s="34">
        <v>45722</v>
      </c>
      <c r="K31" s="70">
        <v>45899</v>
      </c>
      <c r="L31" s="35" t="s">
        <v>3</v>
      </c>
      <c r="M31" s="35" t="s">
        <v>2</v>
      </c>
      <c r="N31" s="41" t="s">
        <v>51</v>
      </c>
      <c r="O31" s="33">
        <v>14400000</v>
      </c>
      <c r="P31" s="33">
        <v>0</v>
      </c>
      <c r="Q31" s="36" t="s">
        <v>273</v>
      </c>
      <c r="R31" s="32" t="s">
        <v>359</v>
      </c>
      <c r="S31" s="36" t="s">
        <v>18</v>
      </c>
    </row>
    <row r="32" spans="1:20" ht="256.5">
      <c r="B32" s="20" t="s">
        <v>86</v>
      </c>
      <c r="C32" s="20" t="s">
        <v>86</v>
      </c>
      <c r="D32" s="20" t="s">
        <v>87</v>
      </c>
      <c r="E32" s="8" t="s">
        <v>88</v>
      </c>
      <c r="F32" s="8" t="s">
        <v>89</v>
      </c>
      <c r="G32" s="8" t="s">
        <v>389</v>
      </c>
      <c r="H32" s="7" t="s">
        <v>50</v>
      </c>
      <c r="I32" s="33">
        <v>10000000</v>
      </c>
      <c r="J32" s="34">
        <v>45722</v>
      </c>
      <c r="K32" s="70">
        <v>46022</v>
      </c>
      <c r="L32" s="35" t="s">
        <v>3</v>
      </c>
      <c r="M32" s="35" t="s">
        <v>2</v>
      </c>
      <c r="N32" s="32" t="s">
        <v>30</v>
      </c>
      <c r="O32" s="33">
        <v>3847983</v>
      </c>
      <c r="P32" s="33">
        <v>6152017</v>
      </c>
      <c r="Q32" s="36" t="s">
        <v>9</v>
      </c>
      <c r="R32" s="32" t="s">
        <v>361</v>
      </c>
      <c r="S32" s="36" t="s">
        <v>18</v>
      </c>
      <c r="T32" s="1" t="s">
        <v>302</v>
      </c>
    </row>
    <row r="33" spans="1:20" ht="270.75">
      <c r="B33" s="20" t="s">
        <v>86</v>
      </c>
      <c r="C33" s="20" t="s">
        <v>86</v>
      </c>
      <c r="D33" s="20" t="s">
        <v>87</v>
      </c>
      <c r="E33" s="8" t="s">
        <v>88</v>
      </c>
      <c r="F33" s="31" t="s">
        <v>89</v>
      </c>
      <c r="G33" s="31" t="s">
        <v>390</v>
      </c>
      <c r="H33" s="7" t="s">
        <v>43</v>
      </c>
      <c r="I33" s="33">
        <v>16500000</v>
      </c>
      <c r="J33" s="34">
        <v>45731</v>
      </c>
      <c r="K33" s="70">
        <v>45900</v>
      </c>
      <c r="L33" s="35" t="s">
        <v>3</v>
      </c>
      <c r="M33" s="35" t="s">
        <v>2</v>
      </c>
      <c r="N33" s="32" t="s">
        <v>42</v>
      </c>
      <c r="O33" s="33">
        <v>16500000</v>
      </c>
      <c r="P33" s="33">
        <v>0</v>
      </c>
      <c r="Q33" s="36" t="s">
        <v>273</v>
      </c>
      <c r="R33" s="32" t="s">
        <v>360</v>
      </c>
      <c r="S33" s="36" t="s">
        <v>18</v>
      </c>
    </row>
    <row r="34" spans="1:20" ht="256.5">
      <c r="B34" s="20" t="s">
        <v>86</v>
      </c>
      <c r="C34" s="20" t="s">
        <v>86</v>
      </c>
      <c r="D34" s="20" t="s">
        <v>87</v>
      </c>
      <c r="E34" s="8" t="s">
        <v>88</v>
      </c>
      <c r="F34" s="31" t="s">
        <v>89</v>
      </c>
      <c r="G34" s="31" t="s">
        <v>391</v>
      </c>
      <c r="H34" s="7" t="s">
        <v>41</v>
      </c>
      <c r="I34" s="33">
        <v>18000000</v>
      </c>
      <c r="J34" s="34">
        <v>45737</v>
      </c>
      <c r="K34" s="70">
        <v>46022</v>
      </c>
      <c r="L34" s="35" t="s">
        <v>3</v>
      </c>
      <c r="M34" s="35" t="s">
        <v>2</v>
      </c>
      <c r="N34" s="32" t="s">
        <v>40</v>
      </c>
      <c r="O34" s="33">
        <v>16950000</v>
      </c>
      <c r="P34" s="33">
        <v>1050000</v>
      </c>
      <c r="Q34" s="36" t="s">
        <v>9</v>
      </c>
      <c r="R34" s="32" t="s">
        <v>361</v>
      </c>
      <c r="S34" s="36" t="s">
        <v>18</v>
      </c>
      <c r="T34" s="1" t="s">
        <v>302</v>
      </c>
    </row>
    <row r="35" spans="1:20" ht="256.5">
      <c r="B35" s="20" t="s">
        <v>86</v>
      </c>
      <c r="C35" s="20" t="s">
        <v>86</v>
      </c>
      <c r="D35" s="20" t="s">
        <v>87</v>
      </c>
      <c r="E35" s="8" t="s">
        <v>88</v>
      </c>
      <c r="F35" s="31" t="s">
        <v>89</v>
      </c>
      <c r="G35" s="31" t="s">
        <v>392</v>
      </c>
      <c r="H35" s="7" t="s">
        <v>20</v>
      </c>
      <c r="I35" s="33">
        <v>28000000</v>
      </c>
      <c r="J35" s="34">
        <v>45777</v>
      </c>
      <c r="K35" s="70">
        <v>46022</v>
      </c>
      <c r="L35" s="35" t="s">
        <v>209</v>
      </c>
      <c r="M35" s="35" t="s">
        <v>2</v>
      </c>
      <c r="N35" s="32" t="s">
        <v>19</v>
      </c>
      <c r="O35" s="33">
        <v>14808864</v>
      </c>
      <c r="P35" s="33">
        <v>13191136</v>
      </c>
      <c r="Q35" s="36" t="s">
        <v>9</v>
      </c>
      <c r="R35" s="32" t="s">
        <v>361</v>
      </c>
      <c r="S35" s="36" t="s">
        <v>18</v>
      </c>
    </row>
    <row r="36" spans="1:20" ht="256.5">
      <c r="B36" s="20" t="s">
        <v>86</v>
      </c>
      <c r="C36" s="20" t="s">
        <v>86</v>
      </c>
      <c r="D36" s="20" t="s">
        <v>87</v>
      </c>
      <c r="E36" s="8" t="s">
        <v>88</v>
      </c>
      <c r="F36" s="31" t="s">
        <v>89</v>
      </c>
      <c r="G36" s="31" t="s">
        <v>393</v>
      </c>
      <c r="H36" s="32" t="s">
        <v>164</v>
      </c>
      <c r="I36" s="33">
        <v>52858693</v>
      </c>
      <c r="J36" s="34">
        <v>45806</v>
      </c>
      <c r="K36" s="70">
        <v>45899</v>
      </c>
      <c r="L36" s="35" t="s">
        <v>3</v>
      </c>
      <c r="M36" s="35" t="s">
        <v>2</v>
      </c>
      <c r="N36" s="32" t="s">
        <v>165</v>
      </c>
      <c r="O36" s="33">
        <v>52858693</v>
      </c>
      <c r="P36" s="33">
        <v>0</v>
      </c>
      <c r="Q36" s="36" t="s">
        <v>9</v>
      </c>
      <c r="R36" s="32" t="s">
        <v>361</v>
      </c>
      <c r="S36" s="36" t="s">
        <v>18</v>
      </c>
    </row>
    <row r="37" spans="1:20" ht="185.25">
      <c r="B37" s="20" t="s">
        <v>86</v>
      </c>
      <c r="C37" s="20" t="s">
        <v>86</v>
      </c>
      <c r="D37" s="20" t="s">
        <v>87</v>
      </c>
      <c r="E37" s="8" t="s">
        <v>88</v>
      </c>
      <c r="F37" s="31" t="s">
        <v>89</v>
      </c>
      <c r="G37" s="31" t="s">
        <v>146</v>
      </c>
      <c r="H37" s="32" t="s">
        <v>170</v>
      </c>
      <c r="I37" s="33">
        <v>41047500</v>
      </c>
      <c r="J37" s="34">
        <v>45839</v>
      </c>
      <c r="K37" s="70">
        <v>46022</v>
      </c>
      <c r="L37" s="35" t="s">
        <v>3</v>
      </c>
      <c r="M37" s="35" t="s">
        <v>2</v>
      </c>
      <c r="N37" s="32" t="s">
        <v>171</v>
      </c>
      <c r="O37" s="33">
        <v>41047500</v>
      </c>
      <c r="P37" s="33">
        <v>0</v>
      </c>
      <c r="Q37" s="36" t="s">
        <v>208</v>
      </c>
      <c r="R37" s="32" t="s">
        <v>350</v>
      </c>
      <c r="S37" s="36" t="s">
        <v>18</v>
      </c>
    </row>
    <row r="38" spans="1:20" ht="213.75">
      <c r="B38" s="20" t="s">
        <v>86</v>
      </c>
      <c r="C38" s="20" t="s">
        <v>86</v>
      </c>
      <c r="D38" s="20" t="s">
        <v>87</v>
      </c>
      <c r="E38" s="8" t="s">
        <v>88</v>
      </c>
      <c r="F38" s="31" t="s">
        <v>89</v>
      </c>
      <c r="G38" s="31" t="s">
        <v>145</v>
      </c>
      <c r="H38" s="32" t="s">
        <v>104</v>
      </c>
      <c r="I38" s="33">
        <v>32522250</v>
      </c>
      <c r="J38" s="34">
        <v>45839</v>
      </c>
      <c r="K38" s="70">
        <v>46022</v>
      </c>
      <c r="L38" s="35" t="s">
        <v>3</v>
      </c>
      <c r="M38" s="35" t="s">
        <v>2</v>
      </c>
      <c r="N38" s="32" t="s">
        <v>172</v>
      </c>
      <c r="O38" s="33">
        <v>32522250</v>
      </c>
      <c r="P38" s="33">
        <v>0</v>
      </c>
      <c r="Q38" s="36" t="s">
        <v>208</v>
      </c>
      <c r="R38" s="32" t="s">
        <v>350</v>
      </c>
      <c r="S38" s="36" t="s">
        <v>18</v>
      </c>
    </row>
    <row r="39" spans="1:20" ht="213.75">
      <c r="B39" s="20" t="s">
        <v>86</v>
      </c>
      <c r="C39" s="20" t="s">
        <v>86</v>
      </c>
      <c r="D39" s="20" t="s">
        <v>87</v>
      </c>
      <c r="E39" s="8" t="s">
        <v>88</v>
      </c>
      <c r="F39" s="31" t="s">
        <v>89</v>
      </c>
      <c r="G39" s="31" t="s">
        <v>148</v>
      </c>
      <c r="H39" s="32" t="s">
        <v>175</v>
      </c>
      <c r="I39" s="33">
        <v>24000000</v>
      </c>
      <c r="J39" s="34">
        <v>45839</v>
      </c>
      <c r="K39" s="70">
        <v>46022</v>
      </c>
      <c r="L39" s="35" t="s">
        <v>3</v>
      </c>
      <c r="M39" s="35" t="s">
        <v>2</v>
      </c>
      <c r="N39" s="32" t="s">
        <v>176</v>
      </c>
      <c r="O39" s="33">
        <v>24000000</v>
      </c>
      <c r="P39" s="33">
        <v>0</v>
      </c>
      <c r="Q39" s="36" t="s">
        <v>208</v>
      </c>
      <c r="R39" s="32" t="s">
        <v>350</v>
      </c>
      <c r="S39" s="36" t="s">
        <v>18</v>
      </c>
    </row>
    <row r="40" spans="1:20" ht="185.25">
      <c r="B40" s="20" t="s">
        <v>86</v>
      </c>
      <c r="C40" s="20" t="s">
        <v>86</v>
      </c>
      <c r="D40" s="20" t="s">
        <v>87</v>
      </c>
      <c r="E40" s="8" t="s">
        <v>88</v>
      </c>
      <c r="F40" s="31" t="s">
        <v>89</v>
      </c>
      <c r="G40" s="31" t="s">
        <v>149</v>
      </c>
      <c r="H40" s="32" t="s">
        <v>177</v>
      </c>
      <c r="I40" s="33">
        <v>14496714</v>
      </c>
      <c r="J40" s="34">
        <v>45841</v>
      </c>
      <c r="K40" s="70">
        <v>46022</v>
      </c>
      <c r="L40" s="35" t="s">
        <v>3</v>
      </c>
      <c r="M40" s="35" t="s">
        <v>2</v>
      </c>
      <c r="N40" s="32" t="s">
        <v>178</v>
      </c>
      <c r="O40" s="33">
        <v>14496714</v>
      </c>
      <c r="P40" s="33">
        <v>0</v>
      </c>
      <c r="Q40" s="36" t="s">
        <v>208</v>
      </c>
      <c r="R40" s="32" t="s">
        <v>350</v>
      </c>
      <c r="S40" s="36" t="s">
        <v>18</v>
      </c>
    </row>
    <row r="41" spans="1:20" ht="185.25">
      <c r="B41" s="20" t="s">
        <v>86</v>
      </c>
      <c r="C41" s="20" t="s">
        <v>86</v>
      </c>
      <c r="D41" s="20" t="s">
        <v>87</v>
      </c>
      <c r="E41" s="8" t="s">
        <v>88</v>
      </c>
      <c r="F41" s="31" t="s">
        <v>89</v>
      </c>
      <c r="G41" s="31" t="s">
        <v>150</v>
      </c>
      <c r="H41" s="32" t="s">
        <v>179</v>
      </c>
      <c r="I41" s="33">
        <v>29731020</v>
      </c>
      <c r="J41" s="34">
        <v>45841</v>
      </c>
      <c r="K41" s="70">
        <v>46022</v>
      </c>
      <c r="L41" s="35" t="s">
        <v>3</v>
      </c>
      <c r="M41" s="35" t="s">
        <v>2</v>
      </c>
      <c r="N41" s="32" t="s">
        <v>180</v>
      </c>
      <c r="O41" s="33">
        <v>29731020</v>
      </c>
      <c r="P41" s="33">
        <v>0</v>
      </c>
      <c r="Q41" s="36" t="s">
        <v>208</v>
      </c>
      <c r="R41" s="32" t="s">
        <v>350</v>
      </c>
      <c r="S41" s="36" t="s">
        <v>18</v>
      </c>
    </row>
    <row r="42" spans="1:20" ht="185.25">
      <c r="B42" s="20" t="s">
        <v>86</v>
      </c>
      <c r="C42" s="20" t="s">
        <v>86</v>
      </c>
      <c r="D42" s="20" t="s">
        <v>87</v>
      </c>
      <c r="E42" s="8" t="s">
        <v>88</v>
      </c>
      <c r="F42" s="31" t="s">
        <v>89</v>
      </c>
      <c r="G42" s="31" t="s">
        <v>158</v>
      </c>
      <c r="H42" s="44" t="s">
        <v>195</v>
      </c>
      <c r="I42" s="33">
        <v>15000000</v>
      </c>
      <c r="J42" s="34">
        <v>45854</v>
      </c>
      <c r="K42" s="70">
        <v>45915</v>
      </c>
      <c r="L42" s="35" t="s">
        <v>3</v>
      </c>
      <c r="M42" s="35" t="s">
        <v>2</v>
      </c>
      <c r="N42" s="45" t="s">
        <v>196</v>
      </c>
      <c r="O42" s="33">
        <v>15000000</v>
      </c>
      <c r="P42" s="33">
        <v>0</v>
      </c>
      <c r="Q42" s="36" t="s">
        <v>208</v>
      </c>
      <c r="R42" s="32" t="s">
        <v>350</v>
      </c>
      <c r="S42" s="36" t="s">
        <v>18</v>
      </c>
    </row>
    <row r="43" spans="1:20" ht="185.25">
      <c r="B43" s="20" t="s">
        <v>86</v>
      </c>
      <c r="C43" s="20" t="s">
        <v>86</v>
      </c>
      <c r="D43" s="20" t="s">
        <v>87</v>
      </c>
      <c r="E43" s="8" t="s">
        <v>88</v>
      </c>
      <c r="F43" s="31" t="s">
        <v>89</v>
      </c>
      <c r="G43" s="31" t="s">
        <v>159</v>
      </c>
      <c r="H43" s="32" t="s">
        <v>197</v>
      </c>
      <c r="I43" s="33">
        <v>16772880</v>
      </c>
      <c r="J43" s="34">
        <v>45853</v>
      </c>
      <c r="K43" s="70">
        <v>46022</v>
      </c>
      <c r="L43" s="35" t="s">
        <v>3</v>
      </c>
      <c r="M43" s="35" t="s">
        <v>2</v>
      </c>
      <c r="N43" s="32" t="s">
        <v>198</v>
      </c>
      <c r="O43" s="33">
        <v>16772880</v>
      </c>
      <c r="P43" s="33">
        <v>0</v>
      </c>
      <c r="Q43" s="36" t="s">
        <v>208</v>
      </c>
      <c r="R43" s="32" t="s">
        <v>350</v>
      </c>
      <c r="S43" s="36" t="s">
        <v>18</v>
      </c>
    </row>
    <row r="44" spans="1:20" ht="185.25">
      <c r="B44" s="20" t="s">
        <v>86</v>
      </c>
      <c r="C44" s="20" t="s">
        <v>86</v>
      </c>
      <c r="D44" s="20" t="s">
        <v>87</v>
      </c>
      <c r="E44" s="8" t="s">
        <v>88</v>
      </c>
      <c r="F44" s="31" t="s">
        <v>89</v>
      </c>
      <c r="G44" s="31" t="s">
        <v>160</v>
      </c>
      <c r="H44" s="32" t="s">
        <v>199</v>
      </c>
      <c r="I44" s="33">
        <v>22923450</v>
      </c>
      <c r="J44" s="34">
        <v>45854</v>
      </c>
      <c r="K44" s="70">
        <v>46022</v>
      </c>
      <c r="L44" s="35" t="s">
        <v>3</v>
      </c>
      <c r="M44" s="35" t="s">
        <v>2</v>
      </c>
      <c r="N44" s="32" t="s">
        <v>200</v>
      </c>
      <c r="O44" s="33">
        <v>22923450</v>
      </c>
      <c r="P44" s="33">
        <v>0</v>
      </c>
      <c r="Q44" s="36" t="s">
        <v>208</v>
      </c>
      <c r="R44" s="32" t="s">
        <v>350</v>
      </c>
      <c r="S44" s="36" t="s">
        <v>18</v>
      </c>
    </row>
    <row r="45" spans="1:20" ht="185.25">
      <c r="B45" s="20" t="s">
        <v>86</v>
      </c>
      <c r="C45" s="20" t="s">
        <v>86</v>
      </c>
      <c r="D45" s="20" t="s">
        <v>87</v>
      </c>
      <c r="E45" s="8" t="s">
        <v>88</v>
      </c>
      <c r="F45" s="31" t="s">
        <v>89</v>
      </c>
      <c r="G45" s="31" t="s">
        <v>161</v>
      </c>
      <c r="H45" s="32" t="s">
        <v>201</v>
      </c>
      <c r="I45" s="33">
        <v>16772880</v>
      </c>
      <c r="J45" s="34">
        <v>45823</v>
      </c>
      <c r="K45" s="70">
        <v>46022</v>
      </c>
      <c r="L45" s="35" t="s">
        <v>3</v>
      </c>
      <c r="M45" s="35" t="s">
        <v>2</v>
      </c>
      <c r="N45" s="32" t="s">
        <v>202</v>
      </c>
      <c r="O45" s="33" t="s">
        <v>345</v>
      </c>
      <c r="P45" s="33" t="e">
        <v>#VALUE!</v>
      </c>
      <c r="Q45" s="36" t="s">
        <v>208</v>
      </c>
      <c r="R45" s="32" t="s">
        <v>350</v>
      </c>
      <c r="S45" s="36" t="s">
        <v>18</v>
      </c>
    </row>
    <row r="46" spans="1:20" ht="185.25">
      <c r="B46" s="20" t="s">
        <v>86</v>
      </c>
      <c r="C46" s="20" t="s">
        <v>86</v>
      </c>
      <c r="D46" s="20" t="s">
        <v>87</v>
      </c>
      <c r="E46" s="8" t="s">
        <v>88</v>
      </c>
      <c r="F46" s="31" t="s">
        <v>89</v>
      </c>
      <c r="G46" s="31" t="s">
        <v>162</v>
      </c>
      <c r="H46" s="32" t="s">
        <v>203</v>
      </c>
      <c r="I46" s="33">
        <v>20400000</v>
      </c>
      <c r="J46" s="34">
        <v>45853</v>
      </c>
      <c r="K46" s="70">
        <v>46022</v>
      </c>
      <c r="L46" s="35" t="s">
        <v>3</v>
      </c>
      <c r="M46" s="35" t="s">
        <v>2</v>
      </c>
      <c r="N46" s="32" t="s">
        <v>204</v>
      </c>
      <c r="O46" s="33">
        <v>20400000</v>
      </c>
      <c r="P46" s="33">
        <v>0</v>
      </c>
      <c r="Q46" s="36" t="s">
        <v>208</v>
      </c>
      <c r="R46" s="32" t="s">
        <v>350</v>
      </c>
      <c r="S46" s="36" t="s">
        <v>18</v>
      </c>
    </row>
    <row r="47" spans="1:20" ht="185.25">
      <c r="A47" s="39"/>
      <c r="B47" s="20" t="s">
        <v>86</v>
      </c>
      <c r="C47" s="20" t="s">
        <v>86</v>
      </c>
      <c r="D47" s="20" t="s">
        <v>87</v>
      </c>
      <c r="E47" s="8" t="s">
        <v>88</v>
      </c>
      <c r="F47" s="40" t="s">
        <v>89</v>
      </c>
      <c r="G47" s="40" t="s">
        <v>275</v>
      </c>
      <c r="H47" s="32" t="s">
        <v>216</v>
      </c>
      <c r="I47" s="33">
        <v>29022910</v>
      </c>
      <c r="J47" s="34">
        <v>45873</v>
      </c>
      <c r="K47" s="70">
        <v>45904</v>
      </c>
      <c r="L47" s="35" t="s">
        <v>11</v>
      </c>
      <c r="M47" s="35" t="s">
        <v>2</v>
      </c>
      <c r="N47" s="32" t="s">
        <v>215</v>
      </c>
      <c r="O47" s="33">
        <v>29022909.989999998</v>
      </c>
      <c r="P47" s="33">
        <v>1.0000001639127731E-2</v>
      </c>
      <c r="Q47" s="36" t="s">
        <v>208</v>
      </c>
      <c r="R47" s="32" t="s">
        <v>350</v>
      </c>
      <c r="S47" s="46" t="s">
        <v>18</v>
      </c>
      <c r="T47" s="1" t="s">
        <v>302</v>
      </c>
    </row>
    <row r="48" spans="1:20" ht="213.75">
      <c r="B48" s="20" t="s">
        <v>86</v>
      </c>
      <c r="C48" s="20" t="s">
        <v>86</v>
      </c>
      <c r="D48" s="20" t="s">
        <v>87</v>
      </c>
      <c r="E48" s="8" t="s">
        <v>88</v>
      </c>
      <c r="F48" s="40" t="s">
        <v>89</v>
      </c>
      <c r="G48" s="40" t="s">
        <v>276</v>
      </c>
      <c r="H48" s="32" t="s">
        <v>52</v>
      </c>
      <c r="I48" s="33">
        <v>12000000</v>
      </c>
      <c r="J48" s="34">
        <v>45901</v>
      </c>
      <c r="K48" s="70">
        <v>46022</v>
      </c>
      <c r="L48" s="35" t="s">
        <v>3</v>
      </c>
      <c r="M48" s="35" t="s">
        <v>2</v>
      </c>
      <c r="N48" s="32" t="s">
        <v>51</v>
      </c>
      <c r="O48" s="33">
        <v>12000000</v>
      </c>
      <c r="P48" s="33">
        <v>0</v>
      </c>
      <c r="Q48" s="36" t="s">
        <v>208</v>
      </c>
      <c r="R48" s="32" t="s">
        <v>371</v>
      </c>
      <c r="S48" s="46" t="s">
        <v>18</v>
      </c>
    </row>
    <row r="49" spans="1:20" ht="213.75">
      <c r="B49" s="20" t="s">
        <v>86</v>
      </c>
      <c r="C49" s="20" t="s">
        <v>86</v>
      </c>
      <c r="D49" s="20" t="s">
        <v>87</v>
      </c>
      <c r="E49" s="8" t="s">
        <v>88</v>
      </c>
      <c r="F49" s="40" t="s">
        <v>89</v>
      </c>
      <c r="G49" s="40" t="s">
        <v>277</v>
      </c>
      <c r="H49" s="32" t="s">
        <v>253</v>
      </c>
      <c r="I49" s="33">
        <v>12000000</v>
      </c>
      <c r="J49" s="34">
        <v>45901</v>
      </c>
      <c r="K49" s="70">
        <v>46022</v>
      </c>
      <c r="L49" s="32" t="s">
        <v>3</v>
      </c>
      <c r="M49" s="35" t="s">
        <v>2</v>
      </c>
      <c r="N49" s="32" t="s">
        <v>254</v>
      </c>
      <c r="O49" s="33">
        <v>12000000</v>
      </c>
      <c r="P49" s="33">
        <v>0</v>
      </c>
      <c r="Q49" s="36" t="s">
        <v>208</v>
      </c>
      <c r="R49" s="32" t="s">
        <v>372</v>
      </c>
      <c r="S49" s="46" t="s">
        <v>18</v>
      </c>
    </row>
    <row r="50" spans="1:20" ht="185.25">
      <c r="A50" s="30"/>
      <c r="B50" s="20" t="s">
        <v>86</v>
      </c>
      <c r="C50" s="20" t="s">
        <v>86</v>
      </c>
      <c r="D50" s="20" t="s">
        <v>87</v>
      </c>
      <c r="E50" s="8" t="s">
        <v>88</v>
      </c>
      <c r="F50" s="40" t="s">
        <v>89</v>
      </c>
      <c r="G50" s="40" t="s">
        <v>278</v>
      </c>
      <c r="H50" s="32" t="s">
        <v>260</v>
      </c>
      <c r="I50" s="33">
        <v>9000000</v>
      </c>
      <c r="J50" s="34">
        <v>45931</v>
      </c>
      <c r="K50" s="70">
        <v>46022</v>
      </c>
      <c r="L50" s="32" t="s">
        <v>3</v>
      </c>
      <c r="M50" s="35" t="s">
        <v>2</v>
      </c>
      <c r="N50" s="32" t="s">
        <v>261</v>
      </c>
      <c r="O50" s="33">
        <v>9000000</v>
      </c>
      <c r="P50" s="33">
        <v>0</v>
      </c>
      <c r="Q50" s="36" t="s">
        <v>208</v>
      </c>
      <c r="R50" s="32" t="s">
        <v>370</v>
      </c>
      <c r="S50" s="36" t="s">
        <v>18</v>
      </c>
    </row>
    <row r="51" spans="1:20" ht="185.25">
      <c r="B51" s="20" t="s">
        <v>86</v>
      </c>
      <c r="C51" s="20" t="s">
        <v>86</v>
      </c>
      <c r="D51" s="20" t="s">
        <v>87</v>
      </c>
      <c r="E51" s="8" t="s">
        <v>88</v>
      </c>
      <c r="F51" s="40" t="s">
        <v>89</v>
      </c>
      <c r="G51" s="40" t="s">
        <v>394</v>
      </c>
      <c r="H51" s="32" t="s">
        <v>262</v>
      </c>
      <c r="I51" s="33">
        <v>10200000</v>
      </c>
      <c r="J51" s="34">
        <v>45931</v>
      </c>
      <c r="K51" s="70">
        <v>46022</v>
      </c>
      <c r="L51" s="32" t="s">
        <v>3</v>
      </c>
      <c r="M51" s="35" t="s">
        <v>2</v>
      </c>
      <c r="N51" s="32" t="s">
        <v>204</v>
      </c>
      <c r="O51" s="33">
        <v>10200000</v>
      </c>
      <c r="P51" s="33">
        <v>0</v>
      </c>
      <c r="Q51" s="36" t="s">
        <v>208</v>
      </c>
      <c r="R51" s="32" t="s">
        <v>370</v>
      </c>
      <c r="S51" s="36" t="s">
        <v>18</v>
      </c>
    </row>
    <row r="52" spans="1:20" ht="213.75">
      <c r="B52" s="20" t="s">
        <v>86</v>
      </c>
      <c r="C52" s="20" t="s">
        <v>86</v>
      </c>
      <c r="D52" s="20" t="s">
        <v>87</v>
      </c>
      <c r="E52" s="8" t="s">
        <v>88</v>
      </c>
      <c r="F52" s="40" t="s">
        <v>89</v>
      </c>
      <c r="G52" s="40" t="s">
        <v>395</v>
      </c>
      <c r="H52" s="32" t="s">
        <v>263</v>
      </c>
      <c r="I52" s="33">
        <v>13999999</v>
      </c>
      <c r="J52" s="34">
        <v>45936</v>
      </c>
      <c r="K52" s="70">
        <v>46022</v>
      </c>
      <c r="L52" s="32" t="s">
        <v>3</v>
      </c>
      <c r="M52" s="35" t="s">
        <v>2</v>
      </c>
      <c r="N52" s="32" t="s">
        <v>264</v>
      </c>
      <c r="O52" s="33">
        <v>13999999</v>
      </c>
      <c r="P52" s="33">
        <v>0</v>
      </c>
      <c r="Q52" s="36" t="s">
        <v>208</v>
      </c>
      <c r="R52" s="32" t="s">
        <v>370</v>
      </c>
      <c r="S52" s="36" t="s">
        <v>18</v>
      </c>
    </row>
    <row r="53" spans="1:20" ht="256.5">
      <c r="A53" s="30"/>
      <c r="B53" s="52" t="s">
        <v>86</v>
      </c>
      <c r="C53" s="52" t="s">
        <v>86</v>
      </c>
      <c r="D53" s="52" t="s">
        <v>87</v>
      </c>
      <c r="E53" s="53" t="s">
        <v>88</v>
      </c>
      <c r="F53" s="54" t="s">
        <v>89</v>
      </c>
      <c r="G53" s="54" t="s">
        <v>424</v>
      </c>
      <c r="H53" s="60" t="s">
        <v>303</v>
      </c>
      <c r="I53" s="61">
        <v>20000000</v>
      </c>
      <c r="J53" s="62">
        <v>46027</v>
      </c>
      <c r="K53" s="71">
        <v>46387</v>
      </c>
      <c r="L53" s="60" t="s">
        <v>304</v>
      </c>
      <c r="M53" s="63" t="s">
        <v>2</v>
      </c>
      <c r="N53" s="60" t="s">
        <v>305</v>
      </c>
      <c r="O53" s="64"/>
      <c r="P53" s="61">
        <v>20000000</v>
      </c>
      <c r="Q53" s="65" t="s">
        <v>9</v>
      </c>
      <c r="R53" s="60" t="s">
        <v>373</v>
      </c>
      <c r="S53" s="65" t="s">
        <v>18</v>
      </c>
    </row>
    <row r="54" spans="1:20" ht="256.5">
      <c r="B54" s="20" t="s">
        <v>86</v>
      </c>
      <c r="C54" s="20" t="s">
        <v>86</v>
      </c>
      <c r="D54" s="20" t="s">
        <v>87</v>
      </c>
      <c r="E54" s="8" t="s">
        <v>88</v>
      </c>
      <c r="F54" s="40" t="s">
        <v>89</v>
      </c>
      <c r="G54" s="40" t="s">
        <v>396</v>
      </c>
      <c r="H54" s="32" t="s">
        <v>306</v>
      </c>
      <c r="I54" s="33">
        <v>6408000</v>
      </c>
      <c r="J54" s="34">
        <v>45955</v>
      </c>
      <c r="K54" s="72" t="s">
        <v>343</v>
      </c>
      <c r="L54" s="32" t="s">
        <v>3</v>
      </c>
      <c r="M54" s="35" t="s">
        <v>2</v>
      </c>
      <c r="N54" s="32" t="s">
        <v>307</v>
      </c>
      <c r="O54" s="33">
        <v>6408000</v>
      </c>
      <c r="P54" s="33">
        <v>0</v>
      </c>
      <c r="Q54" s="36" t="s">
        <v>208</v>
      </c>
      <c r="R54" s="32" t="s">
        <v>373</v>
      </c>
      <c r="S54" s="36" t="s">
        <v>18</v>
      </c>
      <c r="T54" s="1" t="s">
        <v>302</v>
      </c>
    </row>
    <row r="55" spans="1:20" ht="256.5">
      <c r="B55" s="20" t="s">
        <v>86</v>
      </c>
      <c r="C55" s="20" t="s">
        <v>86</v>
      </c>
      <c r="D55" s="20" t="s">
        <v>87</v>
      </c>
      <c r="E55" s="8" t="s">
        <v>88</v>
      </c>
      <c r="F55" s="40" t="s">
        <v>89</v>
      </c>
      <c r="G55" s="40" t="s">
        <v>397</v>
      </c>
      <c r="H55" s="32" t="s">
        <v>315</v>
      </c>
      <c r="I55" s="33">
        <v>43884520</v>
      </c>
      <c r="J55" s="34">
        <v>45995</v>
      </c>
      <c r="K55" s="70">
        <v>46022</v>
      </c>
      <c r="L55" s="35" t="s">
        <v>317</v>
      </c>
      <c r="M55" s="35" t="s">
        <v>2</v>
      </c>
      <c r="N55" s="32" t="s">
        <v>316</v>
      </c>
      <c r="O55" s="33">
        <v>43884520</v>
      </c>
      <c r="P55" s="33">
        <v>0</v>
      </c>
      <c r="Q55" s="36" t="s">
        <v>208</v>
      </c>
      <c r="R55" s="32" t="s">
        <v>373</v>
      </c>
      <c r="S55" s="36" t="s">
        <v>18</v>
      </c>
    </row>
  </sheetData>
  <autoFilter ref="A16:U16"/>
  <mergeCells count="25">
    <mergeCell ref="N15:N16"/>
    <mergeCell ref="O15:O16"/>
    <mergeCell ref="P15:P16"/>
    <mergeCell ref="Q15:Q16"/>
    <mergeCell ref="R15:R16"/>
    <mergeCell ref="M15:M16"/>
    <mergeCell ref="C12:F12"/>
    <mergeCell ref="C13:F13"/>
    <mergeCell ref="B15:B16"/>
    <mergeCell ref="C15:C16"/>
    <mergeCell ref="D15:D16"/>
    <mergeCell ref="E15:E16"/>
    <mergeCell ref="F15:F16"/>
    <mergeCell ref="G15:G16"/>
    <mergeCell ref="H15:H16"/>
    <mergeCell ref="I15:I16"/>
    <mergeCell ref="J15:K15"/>
    <mergeCell ref="L15:L16"/>
    <mergeCell ref="C11:F11"/>
    <mergeCell ref="G11:J11"/>
    <mergeCell ref="G8:I8"/>
    <mergeCell ref="C9:F9"/>
    <mergeCell ref="G9:J9"/>
    <mergeCell ref="C10:F10"/>
    <mergeCell ref="G10:J10"/>
  </mergeCells>
  <hyperlinks>
    <hyperlink ref="C13" r:id="rId1"/>
  </hyperlinks>
  <pageMargins left="0.23622047244094491" right="0.23622047244094491" top="0.74803149606299213" bottom="0.74803149606299213" header="0.31496062992125984" footer="0.31496062992125984"/>
  <pageSetup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8:T75"/>
  <sheetViews>
    <sheetView zoomScale="70" zoomScaleNormal="70" workbookViewId="0">
      <selection activeCell="A17" sqref="A17:T75"/>
    </sheetView>
  </sheetViews>
  <sheetFormatPr baseColWidth="10" defaultColWidth="11.375" defaultRowHeight="14.25"/>
  <cols>
    <col min="1" max="1" width="2.25" style="1" customWidth="1"/>
    <col min="2" max="2" width="20.875" style="1" customWidth="1"/>
    <col min="3" max="3" width="17.375" style="1" customWidth="1"/>
    <col min="4" max="4" width="26.375" style="6" customWidth="1"/>
    <col min="5" max="5" width="22.125" style="6" customWidth="1"/>
    <col min="6" max="6" width="20.25" style="6" customWidth="1"/>
    <col min="7" max="7" width="18.625" style="5" customWidth="1"/>
    <col min="8" max="8" width="21.875" style="4" customWidth="1"/>
    <col min="9" max="9" width="21.875" style="3" customWidth="1"/>
    <col min="10" max="10" width="19.75" style="1" customWidth="1"/>
    <col min="11" max="11" width="15.75" style="1" customWidth="1"/>
    <col min="12" max="12" width="21.125" style="1" customWidth="1"/>
    <col min="13" max="13" width="19.875" style="1" customWidth="1"/>
    <col min="14" max="14" width="23.375" style="1" bestFit="1" customWidth="1"/>
    <col min="15" max="15" width="21.625" style="3" customWidth="1"/>
    <col min="16" max="16" width="25.25" style="3" customWidth="1"/>
    <col min="17" max="17" width="17.75" style="1" customWidth="1"/>
    <col min="18" max="18" width="24" style="1" customWidth="1"/>
    <col min="19" max="19" width="11.375" style="2"/>
    <col min="20" max="16384" width="11.375" style="1"/>
  </cols>
  <sheetData>
    <row r="8" spans="2:19" customFormat="1" ht="20.25">
      <c r="G8" s="105" t="s">
        <v>85</v>
      </c>
      <c r="H8" s="105"/>
      <c r="I8" s="105"/>
      <c r="O8" s="15"/>
      <c r="P8" s="15"/>
      <c r="S8" s="14"/>
    </row>
    <row r="9" spans="2:19" ht="15" customHeight="1">
      <c r="B9" s="18" t="s">
        <v>84</v>
      </c>
      <c r="C9" s="86" t="s">
        <v>274</v>
      </c>
      <c r="D9" s="87"/>
      <c r="E9" s="87"/>
      <c r="F9" s="88"/>
      <c r="G9" s="103" t="s">
        <v>83</v>
      </c>
      <c r="H9" s="104"/>
      <c r="I9" s="104"/>
      <c r="J9" s="104"/>
    </row>
    <row r="10" spans="2:19" ht="15" customHeight="1">
      <c r="B10" s="18" t="s">
        <v>82</v>
      </c>
      <c r="C10" s="86" t="s">
        <v>81</v>
      </c>
      <c r="D10" s="87"/>
      <c r="E10" s="87"/>
      <c r="F10" s="88"/>
      <c r="G10" s="103" t="s">
        <v>80</v>
      </c>
      <c r="H10" s="104"/>
      <c r="I10" s="104"/>
      <c r="J10" s="104"/>
    </row>
    <row r="11" spans="2:19" ht="15" customHeight="1">
      <c r="B11" s="18" t="s">
        <v>79</v>
      </c>
      <c r="C11" s="86" t="s">
        <v>78</v>
      </c>
      <c r="D11" s="87"/>
      <c r="E11" s="87"/>
      <c r="F11" s="88"/>
      <c r="G11" s="103" t="s">
        <v>77</v>
      </c>
      <c r="H11" s="104"/>
      <c r="I11" s="104"/>
      <c r="J11" s="104"/>
    </row>
    <row r="12" spans="2:19" ht="15">
      <c r="B12" s="18" t="s">
        <v>76</v>
      </c>
      <c r="C12" s="86">
        <v>3122603704</v>
      </c>
      <c r="D12" s="87"/>
      <c r="E12" s="87"/>
      <c r="F12" s="88"/>
      <c r="G12" s="10"/>
      <c r="H12" s="10"/>
      <c r="I12" s="17"/>
      <c r="J12" s="10"/>
    </row>
    <row r="13" spans="2:19" ht="15">
      <c r="B13" s="18" t="s">
        <v>75</v>
      </c>
      <c r="C13" s="92" t="s">
        <v>74</v>
      </c>
      <c r="D13" s="87"/>
      <c r="E13" s="87"/>
      <c r="F13" s="88"/>
      <c r="G13" s="10"/>
      <c r="H13" s="10"/>
      <c r="I13" s="17"/>
      <c r="J13" s="10"/>
    </row>
    <row r="14" spans="2:19" customFormat="1">
      <c r="H14" s="16"/>
      <c r="I14" s="15"/>
      <c r="O14" s="15"/>
      <c r="P14" s="15"/>
      <c r="S14" s="14"/>
    </row>
    <row r="15" spans="2:19" s="11" customFormat="1" ht="15.75" customHeight="1">
      <c r="B15" s="99" t="s">
        <v>73</v>
      </c>
      <c r="C15" s="99" t="s">
        <v>72</v>
      </c>
      <c r="D15" s="99" t="s">
        <v>71</v>
      </c>
      <c r="E15" s="99" t="s">
        <v>70</v>
      </c>
      <c r="F15" s="93" t="s">
        <v>69</v>
      </c>
      <c r="G15" s="93" t="s">
        <v>68</v>
      </c>
      <c r="H15" s="95" t="s">
        <v>67</v>
      </c>
      <c r="I15" s="97" t="s">
        <v>66</v>
      </c>
      <c r="J15" s="95" t="s">
        <v>65</v>
      </c>
      <c r="K15" s="95"/>
      <c r="L15" s="83" t="s">
        <v>64</v>
      </c>
      <c r="M15" s="90" t="s">
        <v>63</v>
      </c>
      <c r="N15" s="83" t="s">
        <v>62</v>
      </c>
      <c r="O15" s="101" t="s">
        <v>61</v>
      </c>
      <c r="P15" s="101" t="s">
        <v>60</v>
      </c>
      <c r="Q15" s="83" t="s">
        <v>59</v>
      </c>
      <c r="R15" s="83" t="s">
        <v>58</v>
      </c>
      <c r="S15" s="12"/>
    </row>
    <row r="16" spans="2:19" s="11" customFormat="1" ht="15.75">
      <c r="B16" s="99"/>
      <c r="C16" s="99"/>
      <c r="D16" s="99"/>
      <c r="E16" s="99"/>
      <c r="F16" s="93"/>
      <c r="G16" s="93"/>
      <c r="H16" s="95"/>
      <c r="I16" s="97"/>
      <c r="J16" s="13" t="s">
        <v>57</v>
      </c>
      <c r="K16" s="13" t="s">
        <v>56</v>
      </c>
      <c r="L16" s="83"/>
      <c r="M16" s="90"/>
      <c r="N16" s="83"/>
      <c r="O16" s="101"/>
      <c r="P16" s="101"/>
      <c r="Q16" s="83"/>
      <c r="R16" s="83"/>
      <c r="S16" s="12"/>
    </row>
    <row r="17" spans="1:20" s="30" customFormat="1" ht="356.25">
      <c r="A17" s="1"/>
      <c r="B17" s="20" t="s">
        <v>86</v>
      </c>
      <c r="C17" s="20" t="s">
        <v>86</v>
      </c>
      <c r="D17" s="20" t="s">
        <v>87</v>
      </c>
      <c r="E17" s="8" t="s">
        <v>88</v>
      </c>
      <c r="F17" s="8" t="s">
        <v>89</v>
      </c>
      <c r="G17" s="8" t="s">
        <v>398</v>
      </c>
      <c r="H17" s="57" t="s">
        <v>94</v>
      </c>
      <c r="I17" s="21">
        <v>62199958</v>
      </c>
      <c r="J17" s="20" t="s">
        <v>91</v>
      </c>
      <c r="K17" s="20" t="s">
        <v>95</v>
      </c>
      <c r="L17" s="37" t="s">
        <v>17</v>
      </c>
      <c r="M17" s="38" t="s">
        <v>2</v>
      </c>
      <c r="N17" s="37" t="s">
        <v>96</v>
      </c>
      <c r="O17" s="21">
        <v>62155790</v>
      </c>
      <c r="P17" s="21">
        <v>44168</v>
      </c>
      <c r="Q17" s="36" t="s">
        <v>208</v>
      </c>
      <c r="R17" s="32" t="s">
        <v>350</v>
      </c>
      <c r="S17" s="56" t="s">
        <v>5</v>
      </c>
      <c r="T17" s="10" t="s">
        <v>302</v>
      </c>
    </row>
    <row r="18" spans="1:20" s="30" customFormat="1" ht="185.25">
      <c r="A18" s="1"/>
      <c r="B18" s="20" t="s">
        <v>86</v>
      </c>
      <c r="C18" s="20" t="s">
        <v>86</v>
      </c>
      <c r="D18" s="20" t="s">
        <v>87</v>
      </c>
      <c r="E18" s="8" t="s">
        <v>88</v>
      </c>
      <c r="F18" s="8" t="s">
        <v>89</v>
      </c>
      <c r="G18" s="8" t="s">
        <v>399</v>
      </c>
      <c r="H18" s="8" t="s">
        <v>139</v>
      </c>
      <c r="I18" s="21">
        <v>436654600</v>
      </c>
      <c r="J18" s="8" t="s">
        <v>140</v>
      </c>
      <c r="K18" s="20" t="s">
        <v>95</v>
      </c>
      <c r="L18" s="37" t="s">
        <v>14</v>
      </c>
      <c r="M18" s="38" t="s">
        <v>2</v>
      </c>
      <c r="N18" s="42" t="s">
        <v>141</v>
      </c>
      <c r="O18" s="21">
        <v>197619779</v>
      </c>
      <c r="P18" s="21">
        <v>239034821</v>
      </c>
      <c r="Q18" s="36" t="s">
        <v>208</v>
      </c>
      <c r="R18" s="32" t="s">
        <v>350</v>
      </c>
      <c r="S18" s="36" t="s">
        <v>5</v>
      </c>
      <c r="T18" s="1" t="s">
        <v>302</v>
      </c>
    </row>
    <row r="19" spans="1:20" s="30" customFormat="1" ht="156.75">
      <c r="A19" s="1"/>
      <c r="B19" s="20" t="s">
        <v>86</v>
      </c>
      <c r="C19" s="20" t="s">
        <v>86</v>
      </c>
      <c r="D19" s="20" t="s">
        <v>87</v>
      </c>
      <c r="E19" s="8" t="s">
        <v>88</v>
      </c>
      <c r="F19" s="8" t="s">
        <v>89</v>
      </c>
      <c r="G19" s="8" t="s">
        <v>400</v>
      </c>
      <c r="H19" s="7" t="s">
        <v>47</v>
      </c>
      <c r="I19" s="33">
        <v>33332936</v>
      </c>
      <c r="J19" s="34">
        <v>45728</v>
      </c>
      <c r="K19" s="34">
        <v>46022</v>
      </c>
      <c r="L19" s="37" t="s">
        <v>14</v>
      </c>
      <c r="M19" s="35" t="s">
        <v>2</v>
      </c>
      <c r="N19" s="32" t="s">
        <v>46</v>
      </c>
      <c r="O19" s="33">
        <v>33332936</v>
      </c>
      <c r="P19" s="33">
        <v>0</v>
      </c>
      <c r="Q19" s="36" t="s">
        <v>208</v>
      </c>
      <c r="R19" s="32" t="s">
        <v>366</v>
      </c>
      <c r="S19" s="36" t="s">
        <v>5</v>
      </c>
      <c r="T19" s="1" t="s">
        <v>302</v>
      </c>
    </row>
    <row r="20" spans="1:20" s="30" customFormat="1" ht="256.5">
      <c r="A20" s="1"/>
      <c r="B20" s="20" t="s">
        <v>86</v>
      </c>
      <c r="C20" s="20" t="s">
        <v>86</v>
      </c>
      <c r="D20" s="20" t="s">
        <v>87</v>
      </c>
      <c r="E20" s="8" t="s">
        <v>88</v>
      </c>
      <c r="F20" s="8" t="s">
        <v>89</v>
      </c>
      <c r="G20" s="8" t="s">
        <v>401</v>
      </c>
      <c r="H20" s="7" t="s">
        <v>45</v>
      </c>
      <c r="I20" s="33">
        <v>1859614280</v>
      </c>
      <c r="J20" s="34">
        <v>45743</v>
      </c>
      <c r="K20" s="34">
        <v>45907</v>
      </c>
      <c r="L20" s="37" t="s">
        <v>14</v>
      </c>
      <c r="M20" s="35" t="s">
        <v>2</v>
      </c>
      <c r="N20" s="32" t="s">
        <v>44</v>
      </c>
      <c r="O20" s="33">
        <v>1855871586</v>
      </c>
      <c r="P20" s="33">
        <v>3742694</v>
      </c>
      <c r="Q20" s="36" t="s">
        <v>9</v>
      </c>
      <c r="R20" s="32" t="s">
        <v>361</v>
      </c>
      <c r="S20" s="36" t="s">
        <v>5</v>
      </c>
      <c r="T20" s="1"/>
    </row>
    <row r="21" spans="1:20" s="30" customFormat="1" ht="256.5">
      <c r="A21" s="1"/>
      <c r="B21" s="20" t="s">
        <v>86</v>
      </c>
      <c r="C21" s="20" t="s">
        <v>86</v>
      </c>
      <c r="D21" s="20" t="s">
        <v>87</v>
      </c>
      <c r="E21" s="8" t="s">
        <v>88</v>
      </c>
      <c r="F21" s="31" t="s">
        <v>89</v>
      </c>
      <c r="G21" s="31" t="s">
        <v>402</v>
      </c>
      <c r="H21" s="7" t="s">
        <v>39</v>
      </c>
      <c r="I21" s="33">
        <v>1127701734.3299999</v>
      </c>
      <c r="J21" s="34">
        <v>45750</v>
      </c>
      <c r="K21" s="34">
        <v>45935</v>
      </c>
      <c r="L21" s="37" t="s">
        <v>14</v>
      </c>
      <c r="M21" s="35" t="s">
        <v>2</v>
      </c>
      <c r="N21" s="32" t="s">
        <v>38</v>
      </c>
      <c r="O21" s="33">
        <v>439527705.80000001</v>
      </c>
      <c r="P21" s="33">
        <v>688174028.52999997</v>
      </c>
      <c r="Q21" s="36" t="s">
        <v>9</v>
      </c>
      <c r="R21" s="32" t="s">
        <v>361</v>
      </c>
      <c r="S21" s="36" t="s">
        <v>5</v>
      </c>
      <c r="T21" s="1" t="s">
        <v>302</v>
      </c>
    </row>
    <row r="22" spans="1:20" s="30" customFormat="1" ht="256.5">
      <c r="A22" s="1"/>
      <c r="B22" s="20" t="s">
        <v>86</v>
      </c>
      <c r="C22" s="20" t="s">
        <v>86</v>
      </c>
      <c r="D22" s="20" t="s">
        <v>87</v>
      </c>
      <c r="E22" s="8" t="s">
        <v>88</v>
      </c>
      <c r="F22" s="31" t="s">
        <v>89</v>
      </c>
      <c r="G22" s="31" t="s">
        <v>403</v>
      </c>
      <c r="H22" s="7" t="s">
        <v>37</v>
      </c>
      <c r="I22" s="33">
        <v>67356419</v>
      </c>
      <c r="J22" s="34">
        <v>45750</v>
      </c>
      <c r="K22" s="34">
        <v>45935</v>
      </c>
      <c r="L22" s="37" t="s">
        <v>17</v>
      </c>
      <c r="M22" s="35" t="s">
        <v>2</v>
      </c>
      <c r="N22" s="32" t="s">
        <v>36</v>
      </c>
      <c r="O22" s="33">
        <v>38116703</v>
      </c>
      <c r="P22" s="33">
        <v>29239716</v>
      </c>
      <c r="Q22" s="36" t="s">
        <v>9</v>
      </c>
      <c r="R22" s="32" t="s">
        <v>361</v>
      </c>
      <c r="S22" s="36" t="s">
        <v>5</v>
      </c>
      <c r="T22" s="1" t="s">
        <v>302</v>
      </c>
    </row>
    <row r="23" spans="1:20" s="30" customFormat="1" ht="240" customHeight="1">
      <c r="A23" s="1"/>
      <c r="B23" s="20" t="s">
        <v>86</v>
      </c>
      <c r="C23" s="20" t="s">
        <v>86</v>
      </c>
      <c r="D23" s="20" t="s">
        <v>87</v>
      </c>
      <c r="E23" s="8" t="s">
        <v>88</v>
      </c>
      <c r="F23" s="31" t="s">
        <v>89</v>
      </c>
      <c r="G23" s="31" t="s">
        <v>404</v>
      </c>
      <c r="H23" s="7" t="s">
        <v>33</v>
      </c>
      <c r="I23" s="33">
        <v>119025732</v>
      </c>
      <c r="J23" s="34">
        <v>45756</v>
      </c>
      <c r="K23" s="34">
        <v>45859</v>
      </c>
      <c r="L23" s="37" t="s">
        <v>14</v>
      </c>
      <c r="M23" s="35" t="s">
        <v>2</v>
      </c>
      <c r="N23" s="32" t="s">
        <v>32</v>
      </c>
      <c r="O23" s="33">
        <v>118653191</v>
      </c>
      <c r="P23" s="33">
        <v>372541</v>
      </c>
      <c r="Q23" s="36" t="s">
        <v>208</v>
      </c>
      <c r="R23" s="32" t="s">
        <v>367</v>
      </c>
      <c r="S23" s="36" t="s">
        <v>5</v>
      </c>
      <c r="T23" s="1" t="s">
        <v>302</v>
      </c>
    </row>
    <row r="24" spans="1:20" s="30" customFormat="1" ht="247.5" customHeight="1">
      <c r="A24" s="1"/>
      <c r="B24" s="20" t="s">
        <v>86</v>
      </c>
      <c r="C24" s="20" t="s">
        <v>86</v>
      </c>
      <c r="D24" s="20" t="s">
        <v>87</v>
      </c>
      <c r="E24" s="8" t="s">
        <v>88</v>
      </c>
      <c r="F24" s="31" t="s">
        <v>89</v>
      </c>
      <c r="G24" s="31" t="s">
        <v>405</v>
      </c>
      <c r="H24" s="7" t="s">
        <v>29</v>
      </c>
      <c r="I24" s="33">
        <v>285677188</v>
      </c>
      <c r="J24" s="34">
        <v>45761</v>
      </c>
      <c r="K24" s="47">
        <v>45855</v>
      </c>
      <c r="L24" s="35" t="s">
        <v>14</v>
      </c>
      <c r="M24" s="35" t="s">
        <v>2</v>
      </c>
      <c r="N24" s="32" t="s">
        <v>28</v>
      </c>
      <c r="O24" s="33">
        <v>190180728</v>
      </c>
      <c r="P24" s="33">
        <v>95496460</v>
      </c>
      <c r="Q24" s="36" t="s">
        <v>208</v>
      </c>
      <c r="R24" s="32" t="s">
        <v>368</v>
      </c>
      <c r="S24" s="36" t="s">
        <v>5</v>
      </c>
      <c r="T24" s="1" t="s">
        <v>302</v>
      </c>
    </row>
    <row r="25" spans="1:20" s="30" customFormat="1" ht="231.75" customHeight="1">
      <c r="A25" s="1"/>
      <c r="B25" s="20" t="s">
        <v>86</v>
      </c>
      <c r="C25" s="20" t="s">
        <v>86</v>
      </c>
      <c r="D25" s="20" t="s">
        <v>87</v>
      </c>
      <c r="E25" s="8" t="s">
        <v>88</v>
      </c>
      <c r="F25" s="31" t="s">
        <v>89</v>
      </c>
      <c r="G25" s="31" t="s">
        <v>406</v>
      </c>
      <c r="H25" s="7" t="s">
        <v>12</v>
      </c>
      <c r="I25" s="33">
        <v>411015699</v>
      </c>
      <c r="J25" s="34">
        <v>45762</v>
      </c>
      <c r="K25" s="34">
        <v>46022</v>
      </c>
      <c r="L25" s="35" t="s">
        <v>11</v>
      </c>
      <c r="M25" s="35" t="s">
        <v>2</v>
      </c>
      <c r="N25" s="32" t="s">
        <v>25</v>
      </c>
      <c r="O25" s="33">
        <v>281340564</v>
      </c>
      <c r="P25" s="33">
        <v>129675135</v>
      </c>
      <c r="Q25" s="36" t="s">
        <v>9</v>
      </c>
      <c r="R25" s="32" t="s">
        <v>361</v>
      </c>
      <c r="S25" s="36" t="s">
        <v>5</v>
      </c>
      <c r="T25" s="1"/>
    </row>
    <row r="26" spans="1:20" s="30" customFormat="1" ht="233.25" customHeight="1">
      <c r="A26" s="1"/>
      <c r="B26" s="20" t="s">
        <v>86</v>
      </c>
      <c r="C26" s="20" t="s">
        <v>86</v>
      </c>
      <c r="D26" s="20" t="s">
        <v>87</v>
      </c>
      <c r="E26" s="8" t="s">
        <v>88</v>
      </c>
      <c r="F26" s="31" t="s">
        <v>89</v>
      </c>
      <c r="G26" s="31" t="s">
        <v>407</v>
      </c>
      <c r="H26" s="7" t="s">
        <v>24</v>
      </c>
      <c r="I26" s="33">
        <v>53516666</v>
      </c>
      <c r="J26" s="34">
        <v>45775</v>
      </c>
      <c r="K26" s="34">
        <v>46022</v>
      </c>
      <c r="L26" s="35" t="s">
        <v>3</v>
      </c>
      <c r="M26" s="35" t="s">
        <v>2</v>
      </c>
      <c r="N26" s="32" t="s">
        <v>23</v>
      </c>
      <c r="O26" s="33">
        <v>14516666</v>
      </c>
      <c r="P26" s="33">
        <v>39000000</v>
      </c>
      <c r="Q26" s="36" t="s">
        <v>9</v>
      </c>
      <c r="R26" s="32" t="s">
        <v>361</v>
      </c>
      <c r="S26" s="36" t="s">
        <v>5</v>
      </c>
      <c r="T26" s="1"/>
    </row>
    <row r="27" spans="1:20" s="30" customFormat="1" ht="256.5">
      <c r="A27" s="1"/>
      <c r="B27" s="20" t="s">
        <v>86</v>
      </c>
      <c r="C27" s="20" t="s">
        <v>86</v>
      </c>
      <c r="D27" s="20" t="s">
        <v>87</v>
      </c>
      <c r="E27" s="8" t="s">
        <v>88</v>
      </c>
      <c r="F27" s="31" t="s">
        <v>89</v>
      </c>
      <c r="G27" s="31" t="s">
        <v>408</v>
      </c>
      <c r="H27" s="7" t="s">
        <v>22</v>
      </c>
      <c r="I27" s="33">
        <v>2779675050</v>
      </c>
      <c r="J27" s="34">
        <v>45803</v>
      </c>
      <c r="K27" s="34">
        <v>45939</v>
      </c>
      <c r="L27" s="35" t="s">
        <v>14</v>
      </c>
      <c r="M27" s="35" t="s">
        <v>2</v>
      </c>
      <c r="N27" s="32" t="s">
        <v>21</v>
      </c>
      <c r="O27" s="33">
        <v>542779675048</v>
      </c>
      <c r="P27" s="33">
        <v>-539999999998</v>
      </c>
      <c r="Q27" s="36" t="s">
        <v>9</v>
      </c>
      <c r="R27" s="32" t="s">
        <v>361</v>
      </c>
      <c r="S27" s="36" t="s">
        <v>5</v>
      </c>
      <c r="T27" s="1"/>
    </row>
    <row r="28" spans="1:20" s="30" customFormat="1" ht="256.5">
      <c r="A28" s="1"/>
      <c r="B28" s="20" t="s">
        <v>86</v>
      </c>
      <c r="C28" s="20" t="s">
        <v>86</v>
      </c>
      <c r="D28" s="20" t="s">
        <v>87</v>
      </c>
      <c r="E28" s="8" t="s">
        <v>88</v>
      </c>
      <c r="F28" s="31" t="s">
        <v>89</v>
      </c>
      <c r="G28" s="31" t="s">
        <v>409</v>
      </c>
      <c r="H28" s="7" t="s">
        <v>210</v>
      </c>
      <c r="I28" s="33">
        <v>218335250</v>
      </c>
      <c r="J28" s="34">
        <v>45803</v>
      </c>
      <c r="K28" s="34">
        <v>45939</v>
      </c>
      <c r="L28" s="35" t="s">
        <v>17</v>
      </c>
      <c r="M28" s="35" t="s">
        <v>2</v>
      </c>
      <c r="N28" s="32" t="s">
        <v>16</v>
      </c>
      <c r="O28" s="33">
        <v>196501725</v>
      </c>
      <c r="P28" s="33">
        <v>21833525</v>
      </c>
      <c r="Q28" s="36" t="s">
        <v>9</v>
      </c>
      <c r="R28" s="32" t="s">
        <v>361</v>
      </c>
      <c r="S28" s="36" t="s">
        <v>5</v>
      </c>
      <c r="T28" s="1"/>
    </row>
    <row r="29" spans="1:20" s="30" customFormat="1" ht="256.5">
      <c r="A29" s="1"/>
      <c r="B29" s="20" t="s">
        <v>86</v>
      </c>
      <c r="C29" s="20" t="s">
        <v>86</v>
      </c>
      <c r="D29" s="20" t="s">
        <v>87</v>
      </c>
      <c r="E29" s="8" t="s">
        <v>88</v>
      </c>
      <c r="F29" s="31" t="s">
        <v>89</v>
      </c>
      <c r="G29" s="31" t="s">
        <v>410</v>
      </c>
      <c r="H29" s="7" t="s">
        <v>15</v>
      </c>
      <c r="I29" s="33">
        <v>142855684</v>
      </c>
      <c r="J29" s="34">
        <v>45787</v>
      </c>
      <c r="K29" s="34">
        <v>46022</v>
      </c>
      <c r="L29" s="35" t="s">
        <v>14</v>
      </c>
      <c r="M29" s="35" t="s">
        <v>2</v>
      </c>
      <c r="N29" s="32" t="s">
        <v>13</v>
      </c>
      <c r="O29" s="33"/>
      <c r="P29" s="33">
        <v>142855684</v>
      </c>
      <c r="Q29" s="36" t="s">
        <v>9</v>
      </c>
      <c r="R29" s="32" t="s">
        <v>361</v>
      </c>
      <c r="S29" s="36" t="s">
        <v>5</v>
      </c>
      <c r="T29" s="1"/>
    </row>
    <row r="30" spans="1:20" s="30" customFormat="1" ht="256.5">
      <c r="A30" s="1"/>
      <c r="B30" s="20" t="s">
        <v>86</v>
      </c>
      <c r="C30" s="20" t="s">
        <v>86</v>
      </c>
      <c r="D30" s="20" t="s">
        <v>87</v>
      </c>
      <c r="E30" s="8" t="s">
        <v>88</v>
      </c>
      <c r="F30" s="31" t="s">
        <v>89</v>
      </c>
      <c r="G30" s="31" t="s">
        <v>411</v>
      </c>
      <c r="H30" s="7" t="s">
        <v>12</v>
      </c>
      <c r="I30" s="33">
        <v>224190381</v>
      </c>
      <c r="J30" s="34">
        <v>45792</v>
      </c>
      <c r="K30" s="34">
        <v>46022</v>
      </c>
      <c r="L30" s="35" t="s">
        <v>11</v>
      </c>
      <c r="M30" s="35" t="s">
        <v>2</v>
      </c>
      <c r="N30" s="32" t="s">
        <v>10</v>
      </c>
      <c r="O30" s="33">
        <v>329070416</v>
      </c>
      <c r="P30" s="33">
        <v>-104880035</v>
      </c>
      <c r="Q30" s="36" t="s">
        <v>9</v>
      </c>
      <c r="R30" s="32" t="s">
        <v>361</v>
      </c>
      <c r="S30" s="36" t="s">
        <v>5</v>
      </c>
      <c r="T30" s="1"/>
    </row>
    <row r="31" spans="1:20" s="30" customFormat="1" ht="256.5">
      <c r="A31" s="1"/>
      <c r="B31" s="20" t="s">
        <v>86</v>
      </c>
      <c r="C31" s="20" t="s">
        <v>86</v>
      </c>
      <c r="D31" s="20" t="s">
        <v>87</v>
      </c>
      <c r="E31" s="8" t="s">
        <v>88</v>
      </c>
      <c r="F31" s="31" t="s">
        <v>89</v>
      </c>
      <c r="G31" s="31" t="s">
        <v>412</v>
      </c>
      <c r="H31" s="7" t="s">
        <v>8</v>
      </c>
      <c r="I31" s="33">
        <v>387956589</v>
      </c>
      <c r="J31" s="34">
        <v>45811</v>
      </c>
      <c r="K31" s="34">
        <v>45961</v>
      </c>
      <c r="L31" s="35" t="s">
        <v>7</v>
      </c>
      <c r="M31" s="35" t="s">
        <v>2</v>
      </c>
      <c r="N31" s="32" t="s">
        <v>6</v>
      </c>
      <c r="O31" s="33"/>
      <c r="P31" s="33">
        <v>387956589</v>
      </c>
      <c r="Q31" s="36" t="s">
        <v>9</v>
      </c>
      <c r="R31" s="32" t="s">
        <v>361</v>
      </c>
      <c r="S31" s="36" t="s">
        <v>5</v>
      </c>
      <c r="T31" s="1"/>
    </row>
    <row r="32" spans="1:20" s="30" customFormat="1" ht="285">
      <c r="B32" s="20" t="s">
        <v>86</v>
      </c>
      <c r="C32" s="20" t="s">
        <v>86</v>
      </c>
      <c r="D32" s="20" t="s">
        <v>87</v>
      </c>
      <c r="E32" s="8" t="s">
        <v>88</v>
      </c>
      <c r="F32" s="31" t="s">
        <v>89</v>
      </c>
      <c r="G32" s="31" t="s">
        <v>143</v>
      </c>
      <c r="H32" s="32" t="s">
        <v>166</v>
      </c>
      <c r="I32" s="33">
        <v>401001440</v>
      </c>
      <c r="J32" s="34">
        <v>45824</v>
      </c>
      <c r="K32" s="34">
        <v>45961</v>
      </c>
      <c r="L32" s="35" t="s">
        <v>7</v>
      </c>
      <c r="M32" s="35" t="s">
        <v>2</v>
      </c>
      <c r="N32" s="32" t="s">
        <v>167</v>
      </c>
      <c r="O32" s="33">
        <v>289549015</v>
      </c>
      <c r="P32" s="33">
        <v>111452425</v>
      </c>
      <c r="Q32" s="36" t="s">
        <v>9</v>
      </c>
      <c r="R32" s="32" t="s">
        <v>361</v>
      </c>
      <c r="S32" s="36" t="s">
        <v>5</v>
      </c>
    </row>
    <row r="33" spans="1:20" s="30" customFormat="1" ht="270.75">
      <c r="A33" s="1"/>
      <c r="B33" s="20" t="s">
        <v>86</v>
      </c>
      <c r="C33" s="20" t="s">
        <v>86</v>
      </c>
      <c r="D33" s="20" t="s">
        <v>87</v>
      </c>
      <c r="E33" s="8" t="s">
        <v>88</v>
      </c>
      <c r="F33" s="31" t="s">
        <v>89</v>
      </c>
      <c r="G33" s="31" t="s">
        <v>147</v>
      </c>
      <c r="H33" s="32" t="s">
        <v>173</v>
      </c>
      <c r="I33" s="33">
        <v>9005171255</v>
      </c>
      <c r="J33" s="34">
        <v>45848</v>
      </c>
      <c r="K33" s="34">
        <v>46151</v>
      </c>
      <c r="L33" s="35" t="s">
        <v>14</v>
      </c>
      <c r="M33" s="35" t="s">
        <v>2</v>
      </c>
      <c r="N33" s="32" t="s">
        <v>174</v>
      </c>
      <c r="O33" s="33">
        <v>1455572286.0120001</v>
      </c>
      <c r="P33" s="33">
        <v>7549598968.9879999</v>
      </c>
      <c r="Q33" s="36" t="s">
        <v>9</v>
      </c>
      <c r="R33" s="32" t="s">
        <v>373</v>
      </c>
      <c r="S33" s="36" t="s">
        <v>5</v>
      </c>
      <c r="T33" s="1"/>
    </row>
    <row r="34" spans="1:20" s="30" customFormat="1" ht="256.5">
      <c r="A34" s="1"/>
      <c r="B34" s="20" t="s">
        <v>86</v>
      </c>
      <c r="C34" s="20" t="s">
        <v>86</v>
      </c>
      <c r="D34" s="20" t="s">
        <v>87</v>
      </c>
      <c r="E34" s="8" t="s">
        <v>88</v>
      </c>
      <c r="F34" s="31" t="s">
        <v>89</v>
      </c>
      <c r="G34" s="31" t="s">
        <v>151</v>
      </c>
      <c r="H34" s="32" t="s">
        <v>181</v>
      </c>
      <c r="I34" s="33">
        <v>896878924</v>
      </c>
      <c r="J34" s="34">
        <v>45847</v>
      </c>
      <c r="K34" s="34">
        <v>45961</v>
      </c>
      <c r="L34" s="35" t="s">
        <v>14</v>
      </c>
      <c r="M34" s="35" t="s">
        <v>2</v>
      </c>
      <c r="N34" s="32" t="s">
        <v>182</v>
      </c>
      <c r="O34" s="33">
        <v>588266588</v>
      </c>
      <c r="P34" s="33">
        <v>308612336</v>
      </c>
      <c r="Q34" s="36" t="s">
        <v>9</v>
      </c>
      <c r="R34" s="32" t="s">
        <v>373</v>
      </c>
      <c r="S34" s="36" t="s">
        <v>5</v>
      </c>
      <c r="T34" s="1"/>
    </row>
    <row r="35" spans="1:20" s="30" customFormat="1" ht="256.5">
      <c r="A35" s="1"/>
      <c r="B35" s="20" t="s">
        <v>86</v>
      </c>
      <c r="C35" s="20" t="s">
        <v>86</v>
      </c>
      <c r="D35" s="20" t="s">
        <v>87</v>
      </c>
      <c r="E35" s="8" t="s">
        <v>88</v>
      </c>
      <c r="F35" s="31" t="s">
        <v>89</v>
      </c>
      <c r="G35" s="31" t="s">
        <v>152</v>
      </c>
      <c r="H35" s="32" t="s">
        <v>183</v>
      </c>
      <c r="I35" s="33">
        <v>55502028</v>
      </c>
      <c r="J35" s="34">
        <v>45847</v>
      </c>
      <c r="K35" s="34">
        <v>45961</v>
      </c>
      <c r="L35" s="35" t="s">
        <v>17</v>
      </c>
      <c r="M35" s="35" t="s">
        <v>2</v>
      </c>
      <c r="N35" s="32" t="s">
        <v>184</v>
      </c>
      <c r="O35" s="33">
        <v>25881079.140000001</v>
      </c>
      <c r="P35" s="33">
        <v>29620948.859999999</v>
      </c>
      <c r="Q35" s="36" t="s">
        <v>9</v>
      </c>
      <c r="R35" s="32" t="s">
        <v>373</v>
      </c>
      <c r="S35" s="36" t="s">
        <v>5</v>
      </c>
      <c r="T35" s="1"/>
    </row>
    <row r="36" spans="1:20" s="30" customFormat="1" ht="256.5">
      <c r="A36" s="1"/>
      <c r="B36" s="20" t="s">
        <v>86</v>
      </c>
      <c r="C36" s="20" t="s">
        <v>86</v>
      </c>
      <c r="D36" s="20" t="s">
        <v>87</v>
      </c>
      <c r="E36" s="8" t="s">
        <v>88</v>
      </c>
      <c r="F36" s="31" t="s">
        <v>89</v>
      </c>
      <c r="G36" s="31" t="s">
        <v>153</v>
      </c>
      <c r="H36" s="32" t="s">
        <v>185</v>
      </c>
      <c r="I36" s="33">
        <v>1039500099</v>
      </c>
      <c r="J36" s="34">
        <v>45847</v>
      </c>
      <c r="K36" s="34">
        <v>46022</v>
      </c>
      <c r="L36" s="35" t="s">
        <v>14</v>
      </c>
      <c r="M36" s="35" t="s">
        <v>2</v>
      </c>
      <c r="N36" s="32" t="s">
        <v>186</v>
      </c>
      <c r="O36" s="33">
        <v>665494965.26999998</v>
      </c>
      <c r="P36" s="33">
        <v>374005133.73000002</v>
      </c>
      <c r="Q36" s="36" t="s">
        <v>9</v>
      </c>
      <c r="R36" s="32" t="s">
        <v>373</v>
      </c>
      <c r="S36" s="36" t="s">
        <v>5</v>
      </c>
      <c r="T36" s="1"/>
    </row>
    <row r="37" spans="1:20" s="30" customFormat="1" ht="256.5">
      <c r="A37" s="1"/>
      <c r="B37" s="20" t="s">
        <v>86</v>
      </c>
      <c r="C37" s="20" t="s">
        <v>86</v>
      </c>
      <c r="D37" s="20" t="s">
        <v>87</v>
      </c>
      <c r="E37" s="8" t="s">
        <v>88</v>
      </c>
      <c r="F37" s="31" t="s">
        <v>89</v>
      </c>
      <c r="G37" s="31" t="s">
        <v>154</v>
      </c>
      <c r="H37" s="32" t="s">
        <v>187</v>
      </c>
      <c r="I37" s="33">
        <v>1171401627</v>
      </c>
      <c r="J37" s="34">
        <v>45847</v>
      </c>
      <c r="K37" s="34">
        <v>46022</v>
      </c>
      <c r="L37" s="35" t="s">
        <v>14</v>
      </c>
      <c r="M37" s="35" t="s">
        <v>2</v>
      </c>
      <c r="N37" s="32" t="s">
        <v>188</v>
      </c>
      <c r="O37" s="33">
        <v>719170181</v>
      </c>
      <c r="P37" s="33">
        <v>452231446</v>
      </c>
      <c r="Q37" s="36" t="s">
        <v>9</v>
      </c>
      <c r="R37" s="32" t="s">
        <v>373</v>
      </c>
      <c r="S37" s="36" t="s">
        <v>5</v>
      </c>
      <c r="T37" s="1"/>
    </row>
    <row r="38" spans="1:20" s="30" customFormat="1" ht="256.5">
      <c r="A38" s="1"/>
      <c r="B38" s="20" t="s">
        <v>86</v>
      </c>
      <c r="C38" s="20" t="s">
        <v>86</v>
      </c>
      <c r="D38" s="20" t="s">
        <v>87</v>
      </c>
      <c r="E38" s="8" t="s">
        <v>88</v>
      </c>
      <c r="F38" s="31" t="s">
        <v>89</v>
      </c>
      <c r="G38" s="31" t="s">
        <v>155</v>
      </c>
      <c r="H38" s="32" t="s">
        <v>189</v>
      </c>
      <c r="I38" s="33">
        <v>139245716.30000001</v>
      </c>
      <c r="J38" s="34">
        <v>45847</v>
      </c>
      <c r="K38" s="34">
        <v>46022</v>
      </c>
      <c r="L38" s="35" t="s">
        <v>17</v>
      </c>
      <c r="M38" s="35" t="s">
        <v>2</v>
      </c>
      <c r="N38" s="32" t="s">
        <v>190</v>
      </c>
      <c r="O38" s="33">
        <v>106608889.17</v>
      </c>
      <c r="P38" s="33">
        <v>32636827.13000001</v>
      </c>
      <c r="Q38" s="36" t="s">
        <v>9</v>
      </c>
      <c r="R38" s="32" t="s">
        <v>373</v>
      </c>
      <c r="S38" s="36" t="s">
        <v>5</v>
      </c>
      <c r="T38" s="1"/>
    </row>
    <row r="39" spans="1:20" s="30" customFormat="1" ht="370.5">
      <c r="A39" s="1"/>
      <c r="B39" s="20" t="s">
        <v>86</v>
      </c>
      <c r="C39" s="20" t="s">
        <v>86</v>
      </c>
      <c r="D39" s="20" t="s">
        <v>87</v>
      </c>
      <c r="E39" s="8" t="s">
        <v>88</v>
      </c>
      <c r="F39" s="31" t="s">
        <v>89</v>
      </c>
      <c r="G39" s="31" t="s">
        <v>156</v>
      </c>
      <c r="H39" s="32" t="s">
        <v>191</v>
      </c>
      <c r="I39" s="33">
        <v>594354187</v>
      </c>
      <c r="J39" s="34">
        <v>45848</v>
      </c>
      <c r="K39" s="34">
        <v>45879</v>
      </c>
      <c r="L39" s="35" t="s">
        <v>17</v>
      </c>
      <c r="M39" s="35" t="s">
        <v>2</v>
      </c>
      <c r="N39" s="32" t="s">
        <v>192</v>
      </c>
      <c r="O39" s="33">
        <v>62464736.25</v>
      </c>
      <c r="P39" s="33">
        <v>531889450.75</v>
      </c>
      <c r="Q39" s="36" t="s">
        <v>9</v>
      </c>
      <c r="R39" s="32" t="s">
        <v>373</v>
      </c>
      <c r="S39" s="36" t="s">
        <v>5</v>
      </c>
      <c r="T39" s="1"/>
    </row>
    <row r="40" spans="1:20" s="30" customFormat="1" ht="256.5">
      <c r="A40" s="1"/>
      <c r="B40" s="20" t="s">
        <v>86</v>
      </c>
      <c r="C40" s="20" t="s">
        <v>86</v>
      </c>
      <c r="D40" s="20" t="s">
        <v>87</v>
      </c>
      <c r="E40" s="8" t="s">
        <v>88</v>
      </c>
      <c r="F40" s="31" t="s">
        <v>89</v>
      </c>
      <c r="G40" s="31" t="s">
        <v>157</v>
      </c>
      <c r="H40" s="32" t="s">
        <v>193</v>
      </c>
      <c r="I40" s="33">
        <v>143764790</v>
      </c>
      <c r="J40" s="34">
        <v>45849</v>
      </c>
      <c r="K40" s="34">
        <v>45910</v>
      </c>
      <c r="L40" s="35" t="s">
        <v>14</v>
      </c>
      <c r="M40" s="35" t="s">
        <v>2</v>
      </c>
      <c r="N40" s="32" t="s">
        <v>194</v>
      </c>
      <c r="O40" s="33">
        <v>90663668</v>
      </c>
      <c r="P40" s="33">
        <v>53101122</v>
      </c>
      <c r="Q40" s="36" t="s">
        <v>9</v>
      </c>
      <c r="R40" s="32" t="s">
        <v>373</v>
      </c>
      <c r="S40" s="36" t="s">
        <v>5</v>
      </c>
      <c r="T40" s="1"/>
    </row>
    <row r="41" spans="1:20" s="30" customFormat="1" ht="256.5">
      <c r="A41" s="1"/>
      <c r="B41" s="20" t="s">
        <v>86</v>
      </c>
      <c r="C41" s="20" t="s">
        <v>86</v>
      </c>
      <c r="D41" s="20" t="s">
        <v>87</v>
      </c>
      <c r="E41" s="8" t="s">
        <v>88</v>
      </c>
      <c r="F41" s="40" t="s">
        <v>89</v>
      </c>
      <c r="G41" s="40" t="s">
        <v>163</v>
      </c>
      <c r="H41" s="32" t="s">
        <v>205</v>
      </c>
      <c r="I41" s="33">
        <v>50079948</v>
      </c>
      <c r="J41" s="34">
        <v>45863</v>
      </c>
      <c r="K41" s="34">
        <v>45893</v>
      </c>
      <c r="L41" s="35" t="s">
        <v>14</v>
      </c>
      <c r="M41" s="35" t="s">
        <v>2</v>
      </c>
      <c r="N41" s="32" t="s">
        <v>206</v>
      </c>
      <c r="O41" s="33">
        <v>23310728</v>
      </c>
      <c r="P41" s="33">
        <v>26769220</v>
      </c>
      <c r="Q41" s="36" t="s">
        <v>9</v>
      </c>
      <c r="R41" s="32" t="s">
        <v>373</v>
      </c>
      <c r="S41" s="36" t="s">
        <v>5</v>
      </c>
      <c r="T41" s="1"/>
    </row>
    <row r="42" spans="1:20" s="30" customFormat="1" ht="185.25">
      <c r="A42" s="29"/>
      <c r="B42" s="20" t="s">
        <v>86</v>
      </c>
      <c r="C42" s="20" t="s">
        <v>86</v>
      </c>
      <c r="D42" s="20" t="s">
        <v>87</v>
      </c>
      <c r="E42" s="8" t="s">
        <v>88</v>
      </c>
      <c r="F42" s="40" t="s">
        <v>89</v>
      </c>
      <c r="G42" s="40" t="s">
        <v>279</v>
      </c>
      <c r="H42" s="32" t="s">
        <v>211</v>
      </c>
      <c r="I42" s="33">
        <v>283926840</v>
      </c>
      <c r="J42" s="34">
        <v>45883</v>
      </c>
      <c r="K42" s="34">
        <v>45961</v>
      </c>
      <c r="L42" s="35" t="s">
        <v>14</v>
      </c>
      <c r="M42" s="35" t="s">
        <v>2</v>
      </c>
      <c r="N42" s="32" t="s">
        <v>212</v>
      </c>
      <c r="O42" s="33">
        <v>283926840</v>
      </c>
      <c r="P42" s="33">
        <v>0</v>
      </c>
      <c r="Q42" s="36" t="s">
        <v>208</v>
      </c>
      <c r="R42" s="32" t="s">
        <v>350</v>
      </c>
      <c r="S42" s="32" t="s">
        <v>5</v>
      </c>
      <c r="T42" s="1"/>
    </row>
    <row r="43" spans="1:20" s="30" customFormat="1" ht="256.5">
      <c r="A43" s="1"/>
      <c r="B43" s="20" t="s">
        <v>86</v>
      </c>
      <c r="C43" s="20" t="s">
        <v>86</v>
      </c>
      <c r="D43" s="20" t="s">
        <v>87</v>
      </c>
      <c r="E43" s="8" t="s">
        <v>88</v>
      </c>
      <c r="F43" s="40" t="s">
        <v>89</v>
      </c>
      <c r="G43" s="40" t="s">
        <v>280</v>
      </c>
      <c r="H43" s="32" t="s">
        <v>213</v>
      </c>
      <c r="I43" s="33">
        <v>521698523</v>
      </c>
      <c r="J43" s="34">
        <v>45925</v>
      </c>
      <c r="K43" s="34">
        <v>46006</v>
      </c>
      <c r="L43" s="35" t="s">
        <v>14</v>
      </c>
      <c r="M43" s="35" t="s">
        <v>2</v>
      </c>
      <c r="N43" s="32" t="s">
        <v>214</v>
      </c>
      <c r="O43" s="33">
        <v>359800630.04000002</v>
      </c>
      <c r="P43" s="33">
        <v>161897892.95999998</v>
      </c>
      <c r="Q43" s="36" t="s">
        <v>9</v>
      </c>
      <c r="R43" s="32" t="s">
        <v>373</v>
      </c>
      <c r="S43" s="46" t="s">
        <v>5</v>
      </c>
      <c r="T43" s="1"/>
    </row>
    <row r="44" spans="1:20" s="30" customFormat="1" ht="327.75">
      <c r="A44" s="1"/>
      <c r="B44" s="20" t="s">
        <v>86</v>
      </c>
      <c r="C44" s="20" t="s">
        <v>86</v>
      </c>
      <c r="D44" s="20" t="s">
        <v>87</v>
      </c>
      <c r="E44" s="8" t="s">
        <v>88</v>
      </c>
      <c r="F44" s="40" t="s">
        <v>89</v>
      </c>
      <c r="G44" s="40" t="s">
        <v>281</v>
      </c>
      <c r="H44" s="32" t="s">
        <v>217</v>
      </c>
      <c r="I44" s="33">
        <v>1259015967</v>
      </c>
      <c r="J44" s="34">
        <v>45889</v>
      </c>
      <c r="K44" s="47" t="s">
        <v>224</v>
      </c>
      <c r="L44" s="35" t="s">
        <v>14</v>
      </c>
      <c r="M44" s="35" t="s">
        <v>2</v>
      </c>
      <c r="N44" s="32" t="s">
        <v>218</v>
      </c>
      <c r="O44" s="33"/>
      <c r="P44" s="33">
        <v>1259015967</v>
      </c>
      <c r="Q44" s="36" t="s">
        <v>9</v>
      </c>
      <c r="R44" s="32" t="s">
        <v>369</v>
      </c>
      <c r="S44" s="46" t="s">
        <v>5</v>
      </c>
      <c r="T44" s="1" t="s">
        <v>302</v>
      </c>
    </row>
    <row r="45" spans="1:20" s="30" customFormat="1" ht="256.5">
      <c r="A45" s="1"/>
      <c r="B45" s="20" t="s">
        <v>86</v>
      </c>
      <c r="C45" s="20" t="s">
        <v>86</v>
      </c>
      <c r="D45" s="20" t="s">
        <v>87</v>
      </c>
      <c r="E45" s="8" t="s">
        <v>88</v>
      </c>
      <c r="F45" s="40" t="s">
        <v>89</v>
      </c>
      <c r="G45" s="40" t="s">
        <v>282</v>
      </c>
      <c r="H45" s="32" t="s">
        <v>219</v>
      </c>
      <c r="I45" s="33">
        <v>2185518766</v>
      </c>
      <c r="J45" s="34">
        <v>45882</v>
      </c>
      <c r="K45" s="34">
        <v>46022</v>
      </c>
      <c r="L45" s="35" t="s">
        <v>14</v>
      </c>
      <c r="M45" s="35" t="s">
        <v>2</v>
      </c>
      <c r="N45" s="32" t="s">
        <v>220</v>
      </c>
      <c r="O45" s="33">
        <v>1958468521</v>
      </c>
      <c r="P45" s="33">
        <v>227050245</v>
      </c>
      <c r="Q45" s="36" t="s">
        <v>9</v>
      </c>
      <c r="R45" s="32" t="s">
        <v>373</v>
      </c>
      <c r="S45" s="46" t="s">
        <v>5</v>
      </c>
      <c r="T45" s="1"/>
    </row>
    <row r="46" spans="1:20" s="30" customFormat="1" ht="256.5">
      <c r="A46" s="1"/>
      <c r="B46" s="20" t="s">
        <v>86</v>
      </c>
      <c r="C46" s="20" t="s">
        <v>86</v>
      </c>
      <c r="D46" s="20" t="s">
        <v>87</v>
      </c>
      <c r="E46" s="8" t="s">
        <v>88</v>
      </c>
      <c r="F46" s="40" t="s">
        <v>89</v>
      </c>
      <c r="G46" s="40" t="s">
        <v>283</v>
      </c>
      <c r="H46" s="32" t="s">
        <v>221</v>
      </c>
      <c r="I46" s="33">
        <v>313265017</v>
      </c>
      <c r="J46" s="34">
        <v>45883</v>
      </c>
      <c r="K46" s="47" t="s">
        <v>222</v>
      </c>
      <c r="L46" s="35" t="s">
        <v>14</v>
      </c>
      <c r="M46" s="35" t="s">
        <v>2</v>
      </c>
      <c r="N46" s="32" t="s">
        <v>223</v>
      </c>
      <c r="O46" s="33">
        <v>313207724</v>
      </c>
      <c r="P46" s="33">
        <v>57293</v>
      </c>
      <c r="Q46" s="36" t="s">
        <v>9</v>
      </c>
      <c r="R46" s="32" t="s">
        <v>373</v>
      </c>
      <c r="S46" s="46" t="s">
        <v>5</v>
      </c>
      <c r="T46" s="1"/>
    </row>
    <row r="47" spans="1:20" ht="185.25">
      <c r="B47" s="20" t="s">
        <v>86</v>
      </c>
      <c r="C47" s="20" t="s">
        <v>86</v>
      </c>
      <c r="D47" s="20" t="s">
        <v>87</v>
      </c>
      <c r="E47" s="8" t="s">
        <v>88</v>
      </c>
      <c r="F47" s="40" t="s">
        <v>89</v>
      </c>
      <c r="G47" s="40" t="s">
        <v>284</v>
      </c>
      <c r="H47" s="32" t="s">
        <v>225</v>
      </c>
      <c r="I47" s="33">
        <v>49625216.649999999</v>
      </c>
      <c r="J47" s="34">
        <v>45882</v>
      </c>
      <c r="K47" s="35" t="s">
        <v>226</v>
      </c>
      <c r="L47" s="35" t="s">
        <v>14</v>
      </c>
      <c r="M47" s="35" t="s">
        <v>2</v>
      </c>
      <c r="N47" s="32" t="s">
        <v>227</v>
      </c>
      <c r="O47" s="33">
        <v>49625216.649999999</v>
      </c>
      <c r="P47" s="33">
        <v>0</v>
      </c>
      <c r="Q47" s="36" t="s">
        <v>208</v>
      </c>
      <c r="R47" s="32" t="s">
        <v>350</v>
      </c>
      <c r="S47" s="46" t="s">
        <v>5</v>
      </c>
      <c r="T47" s="1" t="s">
        <v>302</v>
      </c>
    </row>
    <row r="48" spans="1:20" ht="270.75">
      <c r="B48" s="20" t="s">
        <v>86</v>
      </c>
      <c r="C48" s="20" t="s">
        <v>86</v>
      </c>
      <c r="D48" s="20" t="s">
        <v>87</v>
      </c>
      <c r="E48" s="8" t="s">
        <v>88</v>
      </c>
      <c r="F48" s="40" t="s">
        <v>89</v>
      </c>
      <c r="G48" s="40" t="s">
        <v>285</v>
      </c>
      <c r="H48" s="32" t="s">
        <v>228</v>
      </c>
      <c r="I48" s="33">
        <v>148725693</v>
      </c>
      <c r="J48" s="34">
        <v>45882</v>
      </c>
      <c r="K48" s="34">
        <v>46022</v>
      </c>
      <c r="L48" s="35" t="s">
        <v>17</v>
      </c>
      <c r="M48" s="35" t="s">
        <v>2</v>
      </c>
      <c r="N48" s="32" t="s">
        <v>229</v>
      </c>
      <c r="O48" s="33">
        <v>133233975.03999999</v>
      </c>
      <c r="P48" s="33">
        <v>15491717.960000008</v>
      </c>
      <c r="Q48" s="36" t="s">
        <v>9</v>
      </c>
      <c r="R48" s="32" t="s">
        <v>373</v>
      </c>
      <c r="S48" s="46" t="s">
        <v>5</v>
      </c>
    </row>
    <row r="49" spans="2:20" ht="256.5">
      <c r="B49" s="20" t="s">
        <v>86</v>
      </c>
      <c r="C49" s="20" t="s">
        <v>86</v>
      </c>
      <c r="D49" s="20" t="s">
        <v>87</v>
      </c>
      <c r="E49" s="8" t="s">
        <v>88</v>
      </c>
      <c r="F49" s="40" t="s">
        <v>89</v>
      </c>
      <c r="G49" s="40" t="s">
        <v>286</v>
      </c>
      <c r="H49" s="32" t="s">
        <v>230</v>
      </c>
      <c r="I49" s="33">
        <v>10864861882</v>
      </c>
      <c r="J49" s="34">
        <v>45883</v>
      </c>
      <c r="K49" s="34">
        <v>46022</v>
      </c>
      <c r="L49" s="35" t="s">
        <v>14</v>
      </c>
      <c r="M49" s="35" t="s">
        <v>2</v>
      </c>
      <c r="N49" s="32" t="s">
        <v>231</v>
      </c>
      <c r="O49" s="33">
        <v>5390018560</v>
      </c>
      <c r="P49" s="33">
        <v>5474843322</v>
      </c>
      <c r="Q49" s="36" t="s">
        <v>9</v>
      </c>
      <c r="R49" s="32" t="s">
        <v>373</v>
      </c>
      <c r="S49" s="46" t="s">
        <v>5</v>
      </c>
    </row>
    <row r="50" spans="2:20" ht="256.5">
      <c r="B50" s="20" t="s">
        <v>86</v>
      </c>
      <c r="C50" s="20" t="s">
        <v>86</v>
      </c>
      <c r="D50" s="20" t="s">
        <v>87</v>
      </c>
      <c r="E50" s="8" t="s">
        <v>88</v>
      </c>
      <c r="F50" s="40" t="s">
        <v>89</v>
      </c>
      <c r="G50" s="40" t="s">
        <v>287</v>
      </c>
      <c r="H50" s="32" t="s">
        <v>232</v>
      </c>
      <c r="I50" s="33">
        <v>709103199</v>
      </c>
      <c r="J50" s="34">
        <v>45883</v>
      </c>
      <c r="K50" s="34">
        <v>46022</v>
      </c>
      <c r="L50" s="35" t="s">
        <v>17</v>
      </c>
      <c r="M50" s="35" t="s">
        <v>2</v>
      </c>
      <c r="N50" s="32" t="s">
        <v>233</v>
      </c>
      <c r="O50" s="33">
        <v>56167117.329999998</v>
      </c>
      <c r="P50" s="33">
        <v>652936081.66999996</v>
      </c>
      <c r="Q50" s="36" t="s">
        <v>9</v>
      </c>
      <c r="R50" s="32" t="s">
        <v>373</v>
      </c>
      <c r="S50" s="46" t="s">
        <v>5</v>
      </c>
    </row>
    <row r="51" spans="2:20" ht="256.5">
      <c r="B51" s="20" t="s">
        <v>86</v>
      </c>
      <c r="C51" s="20" t="s">
        <v>86</v>
      </c>
      <c r="D51" s="20" t="s">
        <v>87</v>
      </c>
      <c r="E51" s="8" t="s">
        <v>88</v>
      </c>
      <c r="F51" s="40" t="s">
        <v>89</v>
      </c>
      <c r="G51" s="40" t="s">
        <v>288</v>
      </c>
      <c r="H51" s="32" t="s">
        <v>234</v>
      </c>
      <c r="I51" s="33">
        <v>40278051</v>
      </c>
      <c r="J51" s="34">
        <v>45889</v>
      </c>
      <c r="K51" s="34">
        <v>46022</v>
      </c>
      <c r="L51" s="35" t="s">
        <v>3</v>
      </c>
      <c r="M51" s="35" t="s">
        <v>2</v>
      </c>
      <c r="N51" s="32" t="s">
        <v>235</v>
      </c>
      <c r="O51" s="33">
        <v>31327373</v>
      </c>
      <c r="P51" s="33">
        <v>8950678</v>
      </c>
      <c r="Q51" s="36" t="s">
        <v>9</v>
      </c>
      <c r="R51" s="32" t="s">
        <v>373</v>
      </c>
      <c r="S51" s="46" t="s">
        <v>5</v>
      </c>
    </row>
    <row r="52" spans="2:20" ht="256.5">
      <c r="B52" s="20" t="s">
        <v>86</v>
      </c>
      <c r="C52" s="20" t="s">
        <v>86</v>
      </c>
      <c r="D52" s="20" t="s">
        <v>87</v>
      </c>
      <c r="E52" s="8" t="s">
        <v>88</v>
      </c>
      <c r="F52" s="40" t="s">
        <v>89</v>
      </c>
      <c r="G52" s="40" t="s">
        <v>289</v>
      </c>
      <c r="H52" s="32" t="s">
        <v>236</v>
      </c>
      <c r="I52" s="33">
        <v>13389772</v>
      </c>
      <c r="J52" s="34">
        <v>45888</v>
      </c>
      <c r="K52" s="34">
        <v>46022</v>
      </c>
      <c r="L52" s="35" t="s">
        <v>3</v>
      </c>
      <c r="M52" s="35" t="s">
        <v>2</v>
      </c>
      <c r="N52" s="32" t="s">
        <v>237</v>
      </c>
      <c r="O52" s="33">
        <v>10414267</v>
      </c>
      <c r="P52" s="33">
        <v>2975505</v>
      </c>
      <c r="Q52" s="36" t="s">
        <v>9</v>
      </c>
      <c r="R52" s="32" t="s">
        <v>373</v>
      </c>
      <c r="S52" s="46" t="s">
        <v>5</v>
      </c>
    </row>
    <row r="53" spans="2:20" ht="256.5">
      <c r="B53" s="20" t="s">
        <v>86</v>
      </c>
      <c r="C53" s="20" t="s">
        <v>86</v>
      </c>
      <c r="D53" s="20" t="s">
        <v>87</v>
      </c>
      <c r="E53" s="8" t="s">
        <v>88</v>
      </c>
      <c r="F53" s="40" t="s">
        <v>89</v>
      </c>
      <c r="G53" s="40" t="s">
        <v>290</v>
      </c>
      <c r="H53" s="32" t="s">
        <v>238</v>
      </c>
      <c r="I53" s="33">
        <v>3695353167</v>
      </c>
      <c r="J53" s="34">
        <v>45896</v>
      </c>
      <c r="K53" s="34">
        <v>46022</v>
      </c>
      <c r="L53" s="35" t="s">
        <v>14</v>
      </c>
      <c r="M53" s="35" t="s">
        <v>2</v>
      </c>
      <c r="N53" s="32" t="s">
        <v>239</v>
      </c>
      <c r="O53" s="33">
        <v>875924602</v>
      </c>
      <c r="P53" s="33">
        <v>2819428565</v>
      </c>
      <c r="Q53" s="36" t="s">
        <v>9</v>
      </c>
      <c r="R53" s="32" t="s">
        <v>373</v>
      </c>
      <c r="S53" s="46" t="s">
        <v>5</v>
      </c>
    </row>
    <row r="54" spans="2:20" ht="256.5">
      <c r="B54" s="20" t="s">
        <v>86</v>
      </c>
      <c r="C54" s="20" t="s">
        <v>86</v>
      </c>
      <c r="D54" s="20" t="s">
        <v>87</v>
      </c>
      <c r="E54" s="8" t="s">
        <v>88</v>
      </c>
      <c r="F54" s="40" t="s">
        <v>89</v>
      </c>
      <c r="G54" s="40" t="s">
        <v>291</v>
      </c>
      <c r="H54" s="32" t="s">
        <v>240</v>
      </c>
      <c r="I54" s="33">
        <v>2218337500</v>
      </c>
      <c r="J54" s="34">
        <v>45896</v>
      </c>
      <c r="K54" s="34">
        <v>46022</v>
      </c>
      <c r="L54" s="35" t="s">
        <v>14</v>
      </c>
      <c r="M54" s="35" t="s">
        <v>2</v>
      </c>
      <c r="N54" s="32" t="s">
        <v>241</v>
      </c>
      <c r="O54" s="33">
        <v>620601132</v>
      </c>
      <c r="P54" s="33">
        <v>1597736368</v>
      </c>
      <c r="Q54" s="36" t="s">
        <v>9</v>
      </c>
      <c r="R54" s="32" t="s">
        <v>373</v>
      </c>
      <c r="S54" s="46" t="s">
        <v>5</v>
      </c>
    </row>
    <row r="55" spans="2:20" ht="256.5">
      <c r="B55" s="20" t="s">
        <v>86</v>
      </c>
      <c r="C55" s="20" t="s">
        <v>86</v>
      </c>
      <c r="D55" s="20" t="s">
        <v>87</v>
      </c>
      <c r="E55" s="8" t="s">
        <v>88</v>
      </c>
      <c r="F55" s="40" t="s">
        <v>89</v>
      </c>
      <c r="G55" s="40" t="s">
        <v>292</v>
      </c>
      <c r="H55" s="32" t="s">
        <v>242</v>
      </c>
      <c r="I55" s="33">
        <v>1577676317</v>
      </c>
      <c r="J55" s="34">
        <v>45896</v>
      </c>
      <c r="K55" s="34">
        <v>46022</v>
      </c>
      <c r="L55" s="35" t="s">
        <v>14</v>
      </c>
      <c r="M55" s="35" t="s">
        <v>2</v>
      </c>
      <c r="N55" s="32" t="s">
        <v>243</v>
      </c>
      <c r="O55" s="33">
        <v>1190189660</v>
      </c>
      <c r="P55" s="33">
        <v>387486657</v>
      </c>
      <c r="Q55" s="36" t="s">
        <v>9</v>
      </c>
      <c r="R55" s="32" t="s">
        <v>373</v>
      </c>
      <c r="S55" s="46" t="s">
        <v>5</v>
      </c>
    </row>
    <row r="56" spans="2:20" ht="256.5">
      <c r="B56" s="20" t="s">
        <v>86</v>
      </c>
      <c r="C56" s="20" t="s">
        <v>86</v>
      </c>
      <c r="D56" s="20" t="s">
        <v>87</v>
      </c>
      <c r="E56" s="8" t="s">
        <v>88</v>
      </c>
      <c r="F56" s="40" t="s">
        <v>89</v>
      </c>
      <c r="G56" s="40" t="s">
        <v>293</v>
      </c>
      <c r="H56" s="32" t="s">
        <v>244</v>
      </c>
      <c r="I56" s="33">
        <v>2436754681</v>
      </c>
      <c r="J56" s="34">
        <v>45896</v>
      </c>
      <c r="K56" s="34">
        <v>46022</v>
      </c>
      <c r="L56" s="35" t="s">
        <v>14</v>
      </c>
      <c r="M56" s="35" t="s">
        <v>2</v>
      </c>
      <c r="N56" s="42" t="s">
        <v>245</v>
      </c>
      <c r="O56" s="33">
        <v>1755171071</v>
      </c>
      <c r="P56" s="33">
        <v>681583610</v>
      </c>
      <c r="Q56" s="36" t="s">
        <v>9</v>
      </c>
      <c r="R56" s="32" t="s">
        <v>373</v>
      </c>
      <c r="S56" s="46" t="s">
        <v>5</v>
      </c>
    </row>
    <row r="57" spans="2:20" ht="256.5">
      <c r="B57" s="20" t="s">
        <v>86</v>
      </c>
      <c r="C57" s="20" t="s">
        <v>86</v>
      </c>
      <c r="D57" s="20" t="s">
        <v>87</v>
      </c>
      <c r="E57" s="8" t="s">
        <v>88</v>
      </c>
      <c r="F57" s="40" t="s">
        <v>89</v>
      </c>
      <c r="G57" s="40" t="s">
        <v>294</v>
      </c>
      <c r="H57" s="32" t="s">
        <v>246</v>
      </c>
      <c r="I57" s="33">
        <v>626582648</v>
      </c>
      <c r="J57" s="34">
        <v>45894</v>
      </c>
      <c r="K57" s="34">
        <v>46022</v>
      </c>
      <c r="L57" s="35" t="s">
        <v>14</v>
      </c>
      <c r="M57" s="35" t="s">
        <v>2</v>
      </c>
      <c r="N57" s="42" t="s">
        <v>247</v>
      </c>
      <c r="O57" s="33">
        <v>626782647.94000006</v>
      </c>
      <c r="P57" s="33">
        <v>-199999.94000005722</v>
      </c>
      <c r="Q57" s="36" t="s">
        <v>9</v>
      </c>
      <c r="R57" s="32" t="s">
        <v>373</v>
      </c>
      <c r="S57" s="46" t="s">
        <v>5</v>
      </c>
    </row>
    <row r="58" spans="2:20" ht="256.5">
      <c r="B58" s="20" t="s">
        <v>86</v>
      </c>
      <c r="C58" s="20" t="s">
        <v>86</v>
      </c>
      <c r="D58" s="20" t="s">
        <v>87</v>
      </c>
      <c r="E58" s="8" t="s">
        <v>88</v>
      </c>
      <c r="F58" s="40" t="s">
        <v>89</v>
      </c>
      <c r="G58" s="40" t="s">
        <v>295</v>
      </c>
      <c r="H58" s="32" t="s">
        <v>248</v>
      </c>
      <c r="I58" s="33">
        <v>39931046</v>
      </c>
      <c r="J58" s="34">
        <v>45894</v>
      </c>
      <c r="K58" s="34">
        <v>46022</v>
      </c>
      <c r="L58" s="35" t="s">
        <v>17</v>
      </c>
      <c r="M58" s="35" t="s">
        <v>2</v>
      </c>
      <c r="N58" s="42" t="s">
        <v>249</v>
      </c>
      <c r="O58" s="33">
        <v>18034381</v>
      </c>
      <c r="P58" s="33">
        <v>21896665</v>
      </c>
      <c r="Q58" s="36" t="s">
        <v>9</v>
      </c>
      <c r="R58" s="32" t="s">
        <v>373</v>
      </c>
      <c r="S58" s="46" t="s">
        <v>5</v>
      </c>
    </row>
    <row r="59" spans="2:20" ht="256.5">
      <c r="B59" s="20" t="s">
        <v>86</v>
      </c>
      <c r="C59" s="20" t="s">
        <v>86</v>
      </c>
      <c r="D59" s="20" t="s">
        <v>87</v>
      </c>
      <c r="E59" s="8" t="s">
        <v>88</v>
      </c>
      <c r="F59" s="40" t="s">
        <v>89</v>
      </c>
      <c r="G59" s="40" t="s">
        <v>296</v>
      </c>
      <c r="H59" s="32" t="s">
        <v>250</v>
      </c>
      <c r="I59" s="33">
        <v>469063987</v>
      </c>
      <c r="J59" s="34">
        <v>45896</v>
      </c>
      <c r="K59" s="34">
        <v>46022</v>
      </c>
      <c r="L59" s="35" t="s">
        <v>17</v>
      </c>
      <c r="M59" s="35" t="s">
        <v>2</v>
      </c>
      <c r="N59" s="42" t="s">
        <v>251</v>
      </c>
      <c r="O59" s="33">
        <v>103194077.01000001</v>
      </c>
      <c r="P59" s="33">
        <v>365869909.99000001</v>
      </c>
      <c r="Q59" s="36" t="s">
        <v>9</v>
      </c>
      <c r="R59" s="32" t="s">
        <v>373</v>
      </c>
      <c r="S59" s="46" t="s">
        <v>5</v>
      </c>
    </row>
    <row r="60" spans="2:20" ht="256.5">
      <c r="B60" s="20" t="s">
        <v>86</v>
      </c>
      <c r="C60" s="20" t="s">
        <v>86</v>
      </c>
      <c r="D60" s="20" t="s">
        <v>87</v>
      </c>
      <c r="E60" s="8" t="s">
        <v>88</v>
      </c>
      <c r="F60" s="40" t="s">
        <v>89</v>
      </c>
      <c r="G60" s="40" t="s">
        <v>297</v>
      </c>
      <c r="H60" s="32" t="s">
        <v>24</v>
      </c>
      <c r="I60" s="33">
        <v>24916667</v>
      </c>
      <c r="J60" s="34">
        <v>45908</v>
      </c>
      <c r="K60" s="34">
        <v>46022</v>
      </c>
      <c r="L60" s="32" t="s">
        <v>3</v>
      </c>
      <c r="M60" s="35" t="s">
        <v>2</v>
      </c>
      <c r="N60" s="32" t="s">
        <v>257</v>
      </c>
      <c r="O60" s="33">
        <v>17983333</v>
      </c>
      <c r="P60" s="33">
        <v>6933334</v>
      </c>
      <c r="Q60" s="36" t="s">
        <v>9</v>
      </c>
      <c r="R60" s="32" t="s">
        <v>373</v>
      </c>
      <c r="S60" s="36" t="s">
        <v>5</v>
      </c>
    </row>
    <row r="61" spans="2:20" ht="256.5">
      <c r="B61" s="20" t="s">
        <v>86</v>
      </c>
      <c r="C61" s="20" t="s">
        <v>86</v>
      </c>
      <c r="D61" s="20" t="s">
        <v>87</v>
      </c>
      <c r="E61" s="8" t="s">
        <v>88</v>
      </c>
      <c r="F61" s="40" t="s">
        <v>89</v>
      </c>
      <c r="G61" s="40" t="s">
        <v>298</v>
      </c>
      <c r="H61" s="32" t="s">
        <v>258</v>
      </c>
      <c r="I61" s="33">
        <v>71100624</v>
      </c>
      <c r="J61" s="34">
        <v>45916</v>
      </c>
      <c r="K61" s="34">
        <v>46022</v>
      </c>
      <c r="L61" s="32" t="s">
        <v>14</v>
      </c>
      <c r="M61" s="35" t="s">
        <v>2</v>
      </c>
      <c r="N61" s="32" t="s">
        <v>259</v>
      </c>
      <c r="O61" s="33">
        <v>1420561.64</v>
      </c>
      <c r="P61" s="33">
        <v>69680062.359999999</v>
      </c>
      <c r="Q61" s="36" t="s">
        <v>9</v>
      </c>
      <c r="R61" s="32" t="s">
        <v>373</v>
      </c>
      <c r="S61" s="36" t="s">
        <v>5</v>
      </c>
    </row>
    <row r="62" spans="2:20" ht="256.5">
      <c r="B62" s="20" t="s">
        <v>86</v>
      </c>
      <c r="C62" s="20" t="s">
        <v>86</v>
      </c>
      <c r="D62" s="20" t="s">
        <v>87</v>
      </c>
      <c r="E62" s="8" t="s">
        <v>88</v>
      </c>
      <c r="F62" s="40" t="s">
        <v>89</v>
      </c>
      <c r="G62" s="40" t="s">
        <v>413</v>
      </c>
      <c r="H62" s="32" t="s">
        <v>269</v>
      </c>
      <c r="I62" s="33">
        <v>390040000</v>
      </c>
      <c r="J62" s="34">
        <v>45950</v>
      </c>
      <c r="K62" s="34">
        <v>46022</v>
      </c>
      <c r="L62" s="32" t="s">
        <v>14</v>
      </c>
      <c r="M62" s="35" t="s">
        <v>2</v>
      </c>
      <c r="N62" s="32" t="s">
        <v>270</v>
      </c>
      <c r="O62" s="33"/>
      <c r="P62" s="33">
        <v>390040000</v>
      </c>
      <c r="Q62" s="36" t="s">
        <v>9</v>
      </c>
      <c r="R62" s="32" t="s">
        <v>373</v>
      </c>
      <c r="S62" s="36" t="s">
        <v>5</v>
      </c>
      <c r="T62" s="1" t="s">
        <v>302</v>
      </c>
    </row>
    <row r="63" spans="2:20" ht="256.5">
      <c r="B63" s="20" t="s">
        <v>86</v>
      </c>
      <c r="C63" s="20" t="s">
        <v>86</v>
      </c>
      <c r="D63" s="20" t="s">
        <v>87</v>
      </c>
      <c r="E63" s="8" t="s">
        <v>88</v>
      </c>
      <c r="F63" s="40" t="s">
        <v>89</v>
      </c>
      <c r="G63" s="40" t="s">
        <v>414</v>
      </c>
      <c r="H63" s="32" t="s">
        <v>271</v>
      </c>
      <c r="I63" s="33">
        <v>102900000</v>
      </c>
      <c r="J63" s="34">
        <v>45951</v>
      </c>
      <c r="K63" s="34">
        <v>46022</v>
      </c>
      <c r="L63" s="32" t="s">
        <v>14</v>
      </c>
      <c r="M63" s="35" t="s">
        <v>2</v>
      </c>
      <c r="N63" s="32" t="s">
        <v>272</v>
      </c>
      <c r="O63" s="33">
        <v>102899452</v>
      </c>
      <c r="P63" s="33">
        <v>548</v>
      </c>
      <c r="Q63" s="36" t="s">
        <v>9</v>
      </c>
      <c r="R63" s="32" t="s">
        <v>373</v>
      </c>
      <c r="S63" s="36" t="s">
        <v>5</v>
      </c>
      <c r="T63" s="30"/>
    </row>
    <row r="64" spans="2:20" ht="256.5">
      <c r="B64" s="20" t="s">
        <v>86</v>
      </c>
      <c r="C64" s="20" t="s">
        <v>86</v>
      </c>
      <c r="D64" s="20" t="s">
        <v>87</v>
      </c>
      <c r="E64" s="8" t="s">
        <v>88</v>
      </c>
      <c r="F64" s="40" t="s">
        <v>89</v>
      </c>
      <c r="G64" s="40" t="s">
        <v>426</v>
      </c>
      <c r="H64" s="32" t="s">
        <v>308</v>
      </c>
      <c r="I64" s="33">
        <v>5736489535.8999996</v>
      </c>
      <c r="J64" s="34">
        <v>45994</v>
      </c>
      <c r="K64" s="34">
        <v>46196</v>
      </c>
      <c r="L64" s="35" t="s">
        <v>310</v>
      </c>
      <c r="M64" s="35" t="s">
        <v>2</v>
      </c>
      <c r="N64" s="32" t="s">
        <v>309</v>
      </c>
      <c r="O64" s="33"/>
      <c r="P64" s="33">
        <v>5736489535.8999996</v>
      </c>
      <c r="Q64" s="36"/>
      <c r="R64" s="32" t="s">
        <v>373</v>
      </c>
      <c r="S64" s="36" t="s">
        <v>5</v>
      </c>
      <c r="T64" s="1" t="s">
        <v>302</v>
      </c>
    </row>
    <row r="65" spans="2:20" ht="256.5">
      <c r="B65" s="20" t="s">
        <v>86</v>
      </c>
      <c r="C65" s="20" t="s">
        <v>86</v>
      </c>
      <c r="D65" s="20" t="s">
        <v>87</v>
      </c>
      <c r="E65" s="8" t="s">
        <v>88</v>
      </c>
      <c r="F65" s="40" t="s">
        <v>89</v>
      </c>
      <c r="G65" s="40" t="s">
        <v>427</v>
      </c>
      <c r="H65" s="32" t="s">
        <v>311</v>
      </c>
      <c r="I65" s="33">
        <v>430264577</v>
      </c>
      <c r="J65" s="34">
        <v>45994</v>
      </c>
      <c r="K65" s="34">
        <v>46196</v>
      </c>
      <c r="L65" s="35" t="s">
        <v>17</v>
      </c>
      <c r="M65" s="35" t="s">
        <v>2</v>
      </c>
      <c r="N65" s="32" t="s">
        <v>312</v>
      </c>
      <c r="O65" s="33"/>
      <c r="P65" s="33">
        <v>430264577</v>
      </c>
      <c r="Q65" s="36"/>
      <c r="R65" s="32" t="s">
        <v>373</v>
      </c>
      <c r="S65" s="36" t="s">
        <v>5</v>
      </c>
      <c r="T65" s="1" t="s">
        <v>302</v>
      </c>
    </row>
    <row r="66" spans="2:20" ht="256.5">
      <c r="B66" s="20" t="s">
        <v>86</v>
      </c>
      <c r="C66" s="20" t="s">
        <v>86</v>
      </c>
      <c r="D66" s="20" t="s">
        <v>87</v>
      </c>
      <c r="E66" s="8" t="s">
        <v>88</v>
      </c>
      <c r="F66" s="40" t="s">
        <v>89</v>
      </c>
      <c r="G66" s="40" t="s">
        <v>428</v>
      </c>
      <c r="H66" s="32" t="s">
        <v>313</v>
      </c>
      <c r="I66" s="33">
        <v>1601795416</v>
      </c>
      <c r="J66" s="34">
        <v>46002</v>
      </c>
      <c r="K66" s="51" t="s">
        <v>344</v>
      </c>
      <c r="L66" s="35" t="s">
        <v>310</v>
      </c>
      <c r="M66" s="35" t="s">
        <v>2</v>
      </c>
      <c r="N66" s="32" t="s">
        <v>314</v>
      </c>
      <c r="O66" s="33"/>
      <c r="P66" s="33">
        <v>1601795416</v>
      </c>
      <c r="Q66" s="36" t="s">
        <v>9</v>
      </c>
      <c r="R66" s="32" t="s">
        <v>373</v>
      </c>
      <c r="S66" s="36" t="s">
        <v>5</v>
      </c>
      <c r="T66" s="1" t="s">
        <v>302</v>
      </c>
    </row>
    <row r="67" spans="2:20" ht="256.5">
      <c r="B67" s="20" t="s">
        <v>86</v>
      </c>
      <c r="C67" s="20" t="s">
        <v>86</v>
      </c>
      <c r="D67" s="20" t="s">
        <v>87</v>
      </c>
      <c r="E67" s="8" t="s">
        <v>88</v>
      </c>
      <c r="F67" s="40" t="s">
        <v>89</v>
      </c>
      <c r="G67" s="40" t="s">
        <v>429</v>
      </c>
      <c r="H67" s="32" t="s">
        <v>318</v>
      </c>
      <c r="I67" s="33">
        <v>196000000</v>
      </c>
      <c r="J67" s="34">
        <v>45994</v>
      </c>
      <c r="K67" s="34">
        <v>46022</v>
      </c>
      <c r="L67" s="35" t="s">
        <v>310</v>
      </c>
      <c r="M67" s="35" t="s">
        <v>2</v>
      </c>
      <c r="N67" s="32" t="s">
        <v>272</v>
      </c>
      <c r="O67" s="33"/>
      <c r="P67" s="33">
        <v>196000000</v>
      </c>
      <c r="Q67" s="36" t="s">
        <v>9</v>
      </c>
      <c r="R67" s="32" t="s">
        <v>373</v>
      </c>
      <c r="S67" s="36" t="s">
        <v>5</v>
      </c>
      <c r="T67" s="1" t="s">
        <v>302</v>
      </c>
    </row>
    <row r="68" spans="2:20" ht="256.5">
      <c r="B68" s="20" t="s">
        <v>86</v>
      </c>
      <c r="C68" s="20" t="s">
        <v>86</v>
      </c>
      <c r="D68" s="20" t="s">
        <v>87</v>
      </c>
      <c r="E68" s="8" t="s">
        <v>88</v>
      </c>
      <c r="F68" s="40" t="s">
        <v>89</v>
      </c>
      <c r="G68" s="40" t="s">
        <v>430</v>
      </c>
      <c r="H68" s="32" t="s">
        <v>319</v>
      </c>
      <c r="I68" s="33">
        <v>66782636</v>
      </c>
      <c r="J68" s="34">
        <v>45994</v>
      </c>
      <c r="K68" s="34">
        <v>46022</v>
      </c>
      <c r="L68" s="35" t="s">
        <v>310</v>
      </c>
      <c r="M68" s="35" t="s">
        <v>2</v>
      </c>
      <c r="N68" s="32" t="s">
        <v>320</v>
      </c>
      <c r="O68" s="33"/>
      <c r="P68" s="33">
        <v>66782636</v>
      </c>
      <c r="Q68" s="36" t="s">
        <v>9</v>
      </c>
      <c r="R68" s="32" t="s">
        <v>373</v>
      </c>
      <c r="S68" s="36" t="s">
        <v>5</v>
      </c>
      <c r="T68" s="1" t="s">
        <v>302</v>
      </c>
    </row>
    <row r="69" spans="2:20" ht="270.75">
      <c r="B69" s="20" t="s">
        <v>86</v>
      </c>
      <c r="C69" s="20" t="s">
        <v>86</v>
      </c>
      <c r="D69" s="20" t="s">
        <v>87</v>
      </c>
      <c r="E69" s="8" t="s">
        <v>88</v>
      </c>
      <c r="F69" s="40" t="s">
        <v>89</v>
      </c>
      <c r="G69" s="40" t="s">
        <v>431</v>
      </c>
      <c r="H69" s="32" t="s">
        <v>321</v>
      </c>
      <c r="I69" s="33">
        <v>26997565</v>
      </c>
      <c r="J69" s="34">
        <v>46006</v>
      </c>
      <c r="K69" s="34">
        <v>46022</v>
      </c>
      <c r="L69" s="35" t="s">
        <v>310</v>
      </c>
      <c r="M69" s="35" t="s">
        <v>2</v>
      </c>
      <c r="N69" s="32" t="s">
        <v>322</v>
      </c>
      <c r="O69" s="33"/>
      <c r="P69" s="33">
        <v>26997565</v>
      </c>
      <c r="Q69" s="36" t="s">
        <v>9</v>
      </c>
      <c r="R69" s="32" t="s">
        <v>373</v>
      </c>
      <c r="S69" s="36" t="s">
        <v>5</v>
      </c>
      <c r="T69" s="1" t="s">
        <v>302</v>
      </c>
    </row>
    <row r="70" spans="2:20" ht="285">
      <c r="B70" s="20" t="s">
        <v>86</v>
      </c>
      <c r="C70" s="20" t="s">
        <v>86</v>
      </c>
      <c r="D70" s="20" t="s">
        <v>87</v>
      </c>
      <c r="E70" s="8" t="s">
        <v>88</v>
      </c>
      <c r="F70" s="40" t="s">
        <v>89</v>
      </c>
      <c r="G70" s="40" t="s">
        <v>432</v>
      </c>
      <c r="H70" s="32" t="s">
        <v>323</v>
      </c>
      <c r="I70" s="33">
        <v>26997565</v>
      </c>
      <c r="J70" s="34">
        <v>46003</v>
      </c>
      <c r="K70" s="35" t="s">
        <v>324</v>
      </c>
      <c r="L70" s="35" t="s">
        <v>326</v>
      </c>
      <c r="M70" s="35" t="s">
        <v>2</v>
      </c>
      <c r="N70" s="32" t="s">
        <v>325</v>
      </c>
      <c r="O70" s="33"/>
      <c r="P70" s="33">
        <v>26997565</v>
      </c>
      <c r="Q70" s="36" t="s">
        <v>9</v>
      </c>
      <c r="R70" s="32" t="s">
        <v>373</v>
      </c>
      <c r="S70" s="36" t="s">
        <v>5</v>
      </c>
      <c r="T70" s="1" t="s">
        <v>302</v>
      </c>
    </row>
    <row r="71" spans="2:20" ht="285">
      <c r="B71" s="20" t="s">
        <v>86</v>
      </c>
      <c r="C71" s="20" t="s">
        <v>86</v>
      </c>
      <c r="D71" s="20" t="s">
        <v>87</v>
      </c>
      <c r="E71" s="8" t="s">
        <v>88</v>
      </c>
      <c r="F71" s="40" t="s">
        <v>89</v>
      </c>
      <c r="G71" s="40" t="s">
        <v>433</v>
      </c>
      <c r="H71" s="32" t="s">
        <v>327</v>
      </c>
      <c r="I71" s="33">
        <v>6822516685.6999998</v>
      </c>
      <c r="J71" s="34">
        <v>46000</v>
      </c>
      <c r="K71" s="34">
        <v>46151</v>
      </c>
      <c r="L71" s="32" t="s">
        <v>317</v>
      </c>
      <c r="M71" s="35" t="s">
        <v>2</v>
      </c>
      <c r="N71" s="32" t="s">
        <v>328</v>
      </c>
      <c r="O71" s="33"/>
      <c r="P71" s="33">
        <v>6822516685.6999998</v>
      </c>
      <c r="Q71" s="36" t="s">
        <v>9</v>
      </c>
      <c r="R71" s="32" t="s">
        <v>373</v>
      </c>
      <c r="S71" s="36" t="s">
        <v>5</v>
      </c>
      <c r="T71" s="1" t="s">
        <v>302</v>
      </c>
    </row>
    <row r="72" spans="2:20" ht="256.5">
      <c r="B72" s="20" t="s">
        <v>86</v>
      </c>
      <c r="C72" s="20" t="s">
        <v>86</v>
      </c>
      <c r="D72" s="20" t="s">
        <v>87</v>
      </c>
      <c r="E72" s="8" t="s">
        <v>88</v>
      </c>
      <c r="F72" s="40" t="s">
        <v>89</v>
      </c>
      <c r="G72" s="40" t="s">
        <v>434</v>
      </c>
      <c r="H72" s="32" t="s">
        <v>329</v>
      </c>
      <c r="I72" s="33">
        <v>114194260</v>
      </c>
      <c r="J72" s="34">
        <v>46002</v>
      </c>
      <c r="K72" s="34">
        <v>46153</v>
      </c>
      <c r="L72" s="32" t="s">
        <v>331</v>
      </c>
      <c r="M72" s="32" t="s">
        <v>2</v>
      </c>
      <c r="N72" s="32" t="s">
        <v>330</v>
      </c>
      <c r="O72" s="33"/>
      <c r="P72" s="33">
        <v>114194260</v>
      </c>
      <c r="Q72" s="36" t="s">
        <v>9</v>
      </c>
      <c r="R72" s="32" t="s">
        <v>373</v>
      </c>
      <c r="S72" s="36" t="s">
        <v>5</v>
      </c>
      <c r="T72" s="1" t="s">
        <v>302</v>
      </c>
    </row>
    <row r="73" spans="2:20" ht="256.5">
      <c r="B73" s="20" t="s">
        <v>86</v>
      </c>
      <c r="C73" s="20" t="s">
        <v>86</v>
      </c>
      <c r="D73" s="20" t="s">
        <v>87</v>
      </c>
      <c r="E73" s="8" t="s">
        <v>88</v>
      </c>
      <c r="F73" s="40" t="s">
        <v>89</v>
      </c>
      <c r="G73" s="40" t="s">
        <v>435</v>
      </c>
      <c r="H73" s="32" t="s">
        <v>341</v>
      </c>
      <c r="I73" s="33">
        <v>4111363268</v>
      </c>
      <c r="J73" s="35"/>
      <c r="K73" s="34">
        <v>46133</v>
      </c>
      <c r="L73" s="35" t="s">
        <v>14</v>
      </c>
      <c r="M73" s="35" t="s">
        <v>336</v>
      </c>
      <c r="N73" s="32" t="s">
        <v>342</v>
      </c>
      <c r="O73" s="33"/>
      <c r="P73" s="33">
        <v>4111363268</v>
      </c>
      <c r="Q73" s="36" t="s">
        <v>9</v>
      </c>
      <c r="R73" s="32" t="s">
        <v>373</v>
      </c>
      <c r="S73" s="36" t="s">
        <v>5</v>
      </c>
      <c r="T73" s="1" t="s">
        <v>302</v>
      </c>
    </row>
    <row r="74" spans="2:20" ht="256.5">
      <c r="B74" s="20" t="s">
        <v>86</v>
      </c>
      <c r="C74" s="20" t="s">
        <v>86</v>
      </c>
      <c r="D74" s="20" t="s">
        <v>87</v>
      </c>
      <c r="E74" s="8" t="s">
        <v>88</v>
      </c>
      <c r="F74" s="40" t="s">
        <v>89</v>
      </c>
      <c r="G74" s="40" t="s">
        <v>436</v>
      </c>
      <c r="H74" s="32" t="s">
        <v>335</v>
      </c>
      <c r="I74" s="33">
        <v>724255520</v>
      </c>
      <c r="J74" s="34">
        <v>46044</v>
      </c>
      <c r="K74" s="34">
        <v>46152</v>
      </c>
      <c r="L74" s="35" t="s">
        <v>326</v>
      </c>
      <c r="M74" s="35" t="s">
        <v>336</v>
      </c>
      <c r="N74" s="32" t="s">
        <v>337</v>
      </c>
      <c r="O74" s="33"/>
      <c r="P74" s="33">
        <v>724255520</v>
      </c>
      <c r="Q74" s="36" t="s">
        <v>9</v>
      </c>
      <c r="R74" s="32" t="s">
        <v>373</v>
      </c>
      <c r="S74" s="36" t="s">
        <v>5</v>
      </c>
      <c r="T74" s="1" t="s">
        <v>302</v>
      </c>
    </row>
    <row r="75" spans="2:20" ht="256.5">
      <c r="B75" s="20" t="s">
        <v>86</v>
      </c>
      <c r="C75" s="20" t="s">
        <v>86</v>
      </c>
      <c r="D75" s="20" t="s">
        <v>87</v>
      </c>
      <c r="E75" s="8" t="s">
        <v>88</v>
      </c>
      <c r="F75" s="40" t="s">
        <v>89</v>
      </c>
      <c r="G75" s="40" t="s">
        <v>437</v>
      </c>
      <c r="H75" s="32" t="s">
        <v>338</v>
      </c>
      <c r="I75" s="33">
        <v>107199761</v>
      </c>
      <c r="J75" s="34">
        <v>46044</v>
      </c>
      <c r="K75" s="34">
        <v>46152</v>
      </c>
      <c r="L75" s="32" t="s">
        <v>340</v>
      </c>
      <c r="M75" s="35" t="s">
        <v>336</v>
      </c>
      <c r="N75" s="32" t="s">
        <v>339</v>
      </c>
      <c r="O75" s="33"/>
      <c r="P75" s="33">
        <v>107199761</v>
      </c>
      <c r="Q75" s="36" t="s">
        <v>9</v>
      </c>
      <c r="R75" s="32" t="s">
        <v>373</v>
      </c>
      <c r="S75" s="36" t="s">
        <v>5</v>
      </c>
      <c r="T75" s="1" t="s">
        <v>302</v>
      </c>
    </row>
  </sheetData>
  <autoFilter ref="A16:U16"/>
  <mergeCells count="25">
    <mergeCell ref="N15:N16"/>
    <mergeCell ref="O15:O16"/>
    <mergeCell ref="P15:P16"/>
    <mergeCell ref="Q15:Q16"/>
    <mergeCell ref="R15:R16"/>
    <mergeCell ref="M15:M16"/>
    <mergeCell ref="C12:F12"/>
    <mergeCell ref="C13:F13"/>
    <mergeCell ref="B15:B16"/>
    <mergeCell ref="C15:C16"/>
    <mergeCell ref="D15:D16"/>
    <mergeCell ref="E15:E16"/>
    <mergeCell ref="F15:F16"/>
    <mergeCell ref="G15:G16"/>
    <mergeCell ref="H15:H16"/>
    <mergeCell ref="I15:I16"/>
    <mergeCell ref="J15:K15"/>
    <mergeCell ref="L15:L16"/>
    <mergeCell ref="C11:F11"/>
    <mergeCell ref="G11:J11"/>
    <mergeCell ref="G8:I8"/>
    <mergeCell ref="C9:F9"/>
    <mergeCell ref="G9:J9"/>
    <mergeCell ref="C10:F10"/>
    <mergeCell ref="G10:J10"/>
  </mergeCells>
  <hyperlinks>
    <hyperlink ref="C13" r:id="rId1"/>
  </hyperlinks>
  <pageMargins left="0.23622047244094491" right="0.23622047244094491" top="0.74803149606299213" bottom="0.74803149606299213" header="0.31496062992125984" footer="0.31496062992125984"/>
  <pageSetup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8:T29"/>
  <sheetViews>
    <sheetView topLeftCell="A28" zoomScale="55" zoomScaleNormal="55" workbookViewId="0">
      <selection activeCell="A17" sqref="A17:T29"/>
    </sheetView>
  </sheetViews>
  <sheetFormatPr baseColWidth="10" defaultColWidth="11.375" defaultRowHeight="14.25"/>
  <cols>
    <col min="1" max="1" width="2.25" style="1" customWidth="1"/>
    <col min="2" max="2" width="20.875" style="1" customWidth="1"/>
    <col min="3" max="3" width="17.375" style="1" customWidth="1"/>
    <col min="4" max="4" width="26.375" style="6" customWidth="1"/>
    <col min="5" max="5" width="22.125" style="6" customWidth="1"/>
    <col min="6" max="6" width="20.25" style="6" customWidth="1"/>
    <col min="7" max="7" width="18.625" style="5" customWidth="1"/>
    <col min="8" max="8" width="21.875" style="4" customWidth="1"/>
    <col min="9" max="9" width="21.875" style="3" customWidth="1"/>
    <col min="10" max="10" width="19.75" style="1" customWidth="1"/>
    <col min="11" max="11" width="15.75" style="1" customWidth="1"/>
    <col min="12" max="12" width="21.125" style="1" customWidth="1"/>
    <col min="13" max="13" width="19.875" style="1" customWidth="1"/>
    <col min="14" max="14" width="23.375" style="1" bestFit="1" customWidth="1"/>
    <col min="15" max="15" width="21.625" style="3" customWidth="1"/>
    <col min="16" max="16" width="25.25" style="3" customWidth="1"/>
    <col min="17" max="17" width="17.75" style="1" customWidth="1"/>
    <col min="18" max="18" width="24" style="1" customWidth="1"/>
    <col min="19" max="19" width="11.375" style="2"/>
    <col min="20" max="16384" width="11.375" style="1"/>
  </cols>
  <sheetData>
    <row r="8" spans="2:19" customFormat="1" ht="20.25">
      <c r="G8" s="105" t="s">
        <v>85</v>
      </c>
      <c r="H8" s="105"/>
      <c r="I8" s="105"/>
      <c r="O8" s="15"/>
      <c r="P8" s="15"/>
      <c r="S8" s="14"/>
    </row>
    <row r="9" spans="2:19" ht="15" customHeight="1">
      <c r="B9" s="18" t="s">
        <v>84</v>
      </c>
      <c r="C9" s="86" t="s">
        <v>274</v>
      </c>
      <c r="D9" s="87"/>
      <c r="E9" s="87"/>
      <c r="F9" s="88"/>
      <c r="G9" s="103" t="s">
        <v>83</v>
      </c>
      <c r="H9" s="104"/>
      <c r="I9" s="104"/>
      <c r="J9" s="104"/>
    </row>
    <row r="10" spans="2:19" ht="15" customHeight="1">
      <c r="B10" s="18" t="s">
        <v>82</v>
      </c>
      <c r="C10" s="86" t="s">
        <v>81</v>
      </c>
      <c r="D10" s="87"/>
      <c r="E10" s="87"/>
      <c r="F10" s="88"/>
      <c r="G10" s="103" t="s">
        <v>80</v>
      </c>
      <c r="H10" s="104"/>
      <c r="I10" s="104"/>
      <c r="J10" s="104"/>
    </row>
    <row r="11" spans="2:19" ht="15" customHeight="1">
      <c r="B11" s="18" t="s">
        <v>79</v>
      </c>
      <c r="C11" s="86" t="s">
        <v>78</v>
      </c>
      <c r="D11" s="87"/>
      <c r="E11" s="87"/>
      <c r="F11" s="88"/>
      <c r="G11" s="103" t="s">
        <v>77</v>
      </c>
      <c r="H11" s="104"/>
      <c r="I11" s="104"/>
      <c r="J11" s="104"/>
    </row>
    <row r="12" spans="2:19" ht="15">
      <c r="B12" s="18" t="s">
        <v>76</v>
      </c>
      <c r="C12" s="86">
        <v>3122603704</v>
      </c>
      <c r="D12" s="87"/>
      <c r="E12" s="87"/>
      <c r="F12" s="88"/>
      <c r="G12" s="10"/>
      <c r="H12" s="10"/>
      <c r="I12" s="17"/>
      <c r="J12" s="10"/>
    </row>
    <row r="13" spans="2:19" ht="15">
      <c r="B13" s="18" t="s">
        <v>75</v>
      </c>
      <c r="C13" s="92" t="s">
        <v>74</v>
      </c>
      <c r="D13" s="87"/>
      <c r="E13" s="87"/>
      <c r="F13" s="88"/>
      <c r="G13" s="10"/>
      <c r="H13" s="10"/>
      <c r="I13" s="17"/>
      <c r="J13" s="10"/>
    </row>
    <row r="14" spans="2:19" customFormat="1">
      <c r="H14" s="16"/>
      <c r="I14" s="15"/>
      <c r="O14" s="15"/>
      <c r="P14" s="15"/>
      <c r="S14" s="14"/>
    </row>
    <row r="15" spans="2:19" s="11" customFormat="1" ht="15.75" customHeight="1">
      <c r="B15" s="99" t="s">
        <v>73</v>
      </c>
      <c r="C15" s="99" t="s">
        <v>72</v>
      </c>
      <c r="D15" s="99" t="s">
        <v>71</v>
      </c>
      <c r="E15" s="99" t="s">
        <v>70</v>
      </c>
      <c r="F15" s="93" t="s">
        <v>69</v>
      </c>
      <c r="G15" s="93" t="s">
        <v>68</v>
      </c>
      <c r="H15" s="95" t="s">
        <v>67</v>
      </c>
      <c r="I15" s="97" t="s">
        <v>66</v>
      </c>
      <c r="J15" s="95" t="s">
        <v>65</v>
      </c>
      <c r="K15" s="95"/>
      <c r="L15" s="83" t="s">
        <v>64</v>
      </c>
      <c r="M15" s="90" t="s">
        <v>63</v>
      </c>
      <c r="N15" s="83" t="s">
        <v>62</v>
      </c>
      <c r="O15" s="101" t="s">
        <v>61</v>
      </c>
      <c r="P15" s="101" t="s">
        <v>60</v>
      </c>
      <c r="Q15" s="83" t="s">
        <v>59</v>
      </c>
      <c r="R15" s="83" t="s">
        <v>58</v>
      </c>
      <c r="S15" s="12"/>
    </row>
    <row r="16" spans="2:19" s="11" customFormat="1" ht="15.75">
      <c r="B16" s="99"/>
      <c r="C16" s="99"/>
      <c r="D16" s="99"/>
      <c r="E16" s="99"/>
      <c r="F16" s="93"/>
      <c r="G16" s="93"/>
      <c r="H16" s="95"/>
      <c r="I16" s="97"/>
      <c r="J16" s="13" t="s">
        <v>57</v>
      </c>
      <c r="K16" s="13" t="s">
        <v>56</v>
      </c>
      <c r="L16" s="83"/>
      <c r="M16" s="90"/>
      <c r="N16" s="83"/>
      <c r="O16" s="101"/>
      <c r="P16" s="101"/>
      <c r="Q16" s="83"/>
      <c r="R16" s="83"/>
      <c r="S16" s="12"/>
    </row>
    <row r="17" spans="1:20" s="30" customFormat="1" ht="327.75">
      <c r="A17" s="1"/>
      <c r="B17" s="20" t="s">
        <v>86</v>
      </c>
      <c r="C17" s="20" t="s">
        <v>86</v>
      </c>
      <c r="D17" s="20" t="s">
        <v>87</v>
      </c>
      <c r="E17" s="8" t="s">
        <v>88</v>
      </c>
      <c r="F17" s="8" t="s">
        <v>89</v>
      </c>
      <c r="G17" s="8" t="s">
        <v>415</v>
      </c>
      <c r="H17" s="8" t="s">
        <v>134</v>
      </c>
      <c r="I17" s="21">
        <v>377900000</v>
      </c>
      <c r="J17" s="8" t="s">
        <v>132</v>
      </c>
      <c r="K17" s="20" t="s">
        <v>116</v>
      </c>
      <c r="L17" s="37" t="s">
        <v>11</v>
      </c>
      <c r="M17" s="38" t="s">
        <v>2</v>
      </c>
      <c r="N17" s="37" t="s">
        <v>135</v>
      </c>
      <c r="O17" s="21">
        <v>372217283</v>
      </c>
      <c r="P17" s="21">
        <v>5682717</v>
      </c>
      <c r="Q17" s="36" t="s">
        <v>9</v>
      </c>
      <c r="R17" s="32" t="s">
        <v>361</v>
      </c>
      <c r="S17" s="36" t="s">
        <v>0</v>
      </c>
      <c r="T17" s="1" t="s">
        <v>302</v>
      </c>
    </row>
    <row r="18" spans="1:20" s="30" customFormat="1" ht="348">
      <c r="A18" s="1"/>
      <c r="B18" s="20" t="s">
        <v>86</v>
      </c>
      <c r="C18" s="20" t="s">
        <v>86</v>
      </c>
      <c r="D18" s="20" t="s">
        <v>87</v>
      </c>
      <c r="E18" s="8" t="s">
        <v>88</v>
      </c>
      <c r="F18" s="8" t="s">
        <v>89</v>
      </c>
      <c r="G18" s="8" t="s">
        <v>416</v>
      </c>
      <c r="H18" s="7" t="s">
        <v>136</v>
      </c>
      <c r="I18" s="21">
        <v>112060148.11</v>
      </c>
      <c r="J18" s="8" t="s">
        <v>137</v>
      </c>
      <c r="K18" s="20" t="s">
        <v>116</v>
      </c>
      <c r="L18" s="37" t="s">
        <v>3</v>
      </c>
      <c r="M18" s="38" t="s">
        <v>2</v>
      </c>
      <c r="N18" s="37" t="s">
        <v>138</v>
      </c>
      <c r="O18" s="21">
        <v>96127780</v>
      </c>
      <c r="P18" s="21">
        <v>15932368.109999999</v>
      </c>
      <c r="Q18" s="36" t="s">
        <v>9</v>
      </c>
      <c r="R18" s="32" t="s">
        <v>361</v>
      </c>
      <c r="S18" s="36" t="s">
        <v>0</v>
      </c>
      <c r="T18" s="1"/>
    </row>
    <row r="19" spans="1:20" s="30" customFormat="1" ht="256.5">
      <c r="A19" s="9" t="s">
        <v>55</v>
      </c>
      <c r="B19" s="20" t="s">
        <v>86</v>
      </c>
      <c r="C19" s="20" t="s">
        <v>86</v>
      </c>
      <c r="D19" s="20" t="s">
        <v>87</v>
      </c>
      <c r="E19" s="8" t="s">
        <v>88</v>
      </c>
      <c r="F19" s="31" t="s">
        <v>89</v>
      </c>
      <c r="G19" s="31" t="s">
        <v>417</v>
      </c>
      <c r="H19" s="7" t="s">
        <v>54</v>
      </c>
      <c r="I19" s="33">
        <v>154599450</v>
      </c>
      <c r="J19" s="34">
        <v>45719</v>
      </c>
      <c r="K19" s="34">
        <v>45838</v>
      </c>
      <c r="L19" s="37" t="s">
        <v>3</v>
      </c>
      <c r="M19" s="38" t="s">
        <v>2</v>
      </c>
      <c r="N19" s="41" t="s">
        <v>53</v>
      </c>
      <c r="O19" s="33">
        <v>154599450</v>
      </c>
      <c r="P19" s="33">
        <v>0</v>
      </c>
      <c r="Q19" s="36" t="s">
        <v>208</v>
      </c>
      <c r="R19" s="32" t="s">
        <v>364</v>
      </c>
      <c r="S19" s="36" t="s">
        <v>0</v>
      </c>
      <c r="T19" s="1" t="s">
        <v>302</v>
      </c>
    </row>
    <row r="20" spans="1:20" ht="299.25">
      <c r="B20" s="20" t="s">
        <v>86</v>
      </c>
      <c r="C20" s="20" t="s">
        <v>86</v>
      </c>
      <c r="D20" s="20" t="s">
        <v>87</v>
      </c>
      <c r="E20" s="8" t="s">
        <v>88</v>
      </c>
      <c r="F20" s="31" t="s">
        <v>89</v>
      </c>
      <c r="G20" s="31" t="s">
        <v>418</v>
      </c>
      <c r="H20" s="7" t="s">
        <v>49</v>
      </c>
      <c r="I20" s="33">
        <v>1255000000</v>
      </c>
      <c r="J20" s="34">
        <v>45734</v>
      </c>
      <c r="K20" s="34">
        <v>46022</v>
      </c>
      <c r="L20" s="35" t="s">
        <v>3</v>
      </c>
      <c r="M20" s="35" t="s">
        <v>2</v>
      </c>
      <c r="N20" s="32" t="s">
        <v>48</v>
      </c>
      <c r="O20" s="33">
        <v>612500000</v>
      </c>
      <c r="P20" s="33">
        <v>642500000</v>
      </c>
      <c r="Q20" s="36" t="s">
        <v>273</v>
      </c>
      <c r="R20" s="32" t="s">
        <v>365</v>
      </c>
      <c r="S20" s="36" t="s">
        <v>0</v>
      </c>
    </row>
    <row r="21" spans="1:20" ht="256.5">
      <c r="B21" s="20" t="s">
        <v>86</v>
      </c>
      <c r="C21" s="20" t="s">
        <v>86</v>
      </c>
      <c r="D21" s="20" t="s">
        <v>87</v>
      </c>
      <c r="E21" s="8" t="s">
        <v>88</v>
      </c>
      <c r="F21" s="31" t="s">
        <v>89</v>
      </c>
      <c r="G21" s="31" t="s">
        <v>419</v>
      </c>
      <c r="H21" s="7" t="s">
        <v>35</v>
      </c>
      <c r="I21" s="33">
        <v>240014614</v>
      </c>
      <c r="J21" s="34">
        <v>45754</v>
      </c>
      <c r="K21" s="34">
        <v>46022</v>
      </c>
      <c r="L21" s="35" t="s">
        <v>3</v>
      </c>
      <c r="M21" s="35" t="s">
        <v>2</v>
      </c>
      <c r="N21" s="32" t="s">
        <v>34</v>
      </c>
      <c r="O21" s="33">
        <v>236718366</v>
      </c>
      <c r="P21" s="33">
        <v>3296248</v>
      </c>
      <c r="Q21" s="36" t="s">
        <v>9</v>
      </c>
      <c r="R21" s="32" t="s">
        <v>361</v>
      </c>
      <c r="S21" s="36" t="s">
        <v>0</v>
      </c>
      <c r="T21" s="1" t="s">
        <v>302</v>
      </c>
    </row>
    <row r="22" spans="1:20" ht="256.5">
      <c r="B22" s="20" t="s">
        <v>86</v>
      </c>
      <c r="C22" s="20" t="s">
        <v>86</v>
      </c>
      <c r="D22" s="20" t="s">
        <v>87</v>
      </c>
      <c r="E22" s="8" t="s">
        <v>88</v>
      </c>
      <c r="F22" s="31" t="s">
        <v>89</v>
      </c>
      <c r="G22" s="31" t="s">
        <v>420</v>
      </c>
      <c r="H22" s="7" t="s">
        <v>31</v>
      </c>
      <c r="I22" s="33">
        <v>2570000000</v>
      </c>
      <c r="J22" s="34">
        <v>45758</v>
      </c>
      <c r="K22" s="34">
        <v>46022</v>
      </c>
      <c r="L22" s="35" t="s">
        <v>11</v>
      </c>
      <c r="M22" s="35" t="s">
        <v>2</v>
      </c>
      <c r="N22" s="32" t="s">
        <v>30</v>
      </c>
      <c r="O22" s="33">
        <v>214135256</v>
      </c>
      <c r="P22" s="33">
        <v>2355864744</v>
      </c>
      <c r="Q22" s="36" t="s">
        <v>9</v>
      </c>
      <c r="R22" s="32" t="s">
        <v>361</v>
      </c>
      <c r="S22" s="36" t="s">
        <v>0</v>
      </c>
      <c r="T22" s="1" t="s">
        <v>302</v>
      </c>
    </row>
    <row r="23" spans="1:20" ht="256.5">
      <c r="B23" s="20" t="s">
        <v>86</v>
      </c>
      <c r="C23" s="20" t="s">
        <v>86</v>
      </c>
      <c r="D23" s="20" t="s">
        <v>87</v>
      </c>
      <c r="E23" s="8" t="s">
        <v>88</v>
      </c>
      <c r="F23" s="31" t="s">
        <v>89</v>
      </c>
      <c r="G23" s="31" t="s">
        <v>421</v>
      </c>
      <c r="H23" s="7" t="s">
        <v>27</v>
      </c>
      <c r="I23" s="33">
        <v>1132435464.0799999</v>
      </c>
      <c r="J23" s="34">
        <v>45761</v>
      </c>
      <c r="K23" s="34">
        <v>46022</v>
      </c>
      <c r="L23" s="35" t="s">
        <v>3</v>
      </c>
      <c r="M23" s="35" t="s">
        <v>2</v>
      </c>
      <c r="N23" s="32" t="s">
        <v>26</v>
      </c>
      <c r="O23" s="33">
        <v>725832122.49000001</v>
      </c>
      <c r="P23" s="33">
        <v>406603341.58999991</v>
      </c>
      <c r="Q23" s="36" t="s">
        <v>9</v>
      </c>
      <c r="R23" s="32" t="s">
        <v>361</v>
      </c>
      <c r="S23" s="36" t="s">
        <v>0</v>
      </c>
      <c r="T23" s="1" t="s">
        <v>302</v>
      </c>
    </row>
    <row r="24" spans="1:20" ht="256.5">
      <c r="B24" s="20" t="s">
        <v>86</v>
      </c>
      <c r="C24" s="20" t="s">
        <v>86</v>
      </c>
      <c r="D24" s="20" t="s">
        <v>87</v>
      </c>
      <c r="E24" s="8" t="s">
        <v>88</v>
      </c>
      <c r="F24" s="31" t="s">
        <v>89</v>
      </c>
      <c r="G24" s="31" t="s">
        <v>422</v>
      </c>
      <c r="H24" s="7" t="s">
        <v>4</v>
      </c>
      <c r="I24" s="33">
        <v>461186886</v>
      </c>
      <c r="J24" s="34">
        <v>45805</v>
      </c>
      <c r="K24" s="34">
        <v>46022</v>
      </c>
      <c r="L24" s="35" t="s">
        <v>3</v>
      </c>
      <c r="M24" s="35" t="s">
        <v>2</v>
      </c>
      <c r="N24" s="32" t="s">
        <v>1</v>
      </c>
      <c r="O24" s="33">
        <v>238039706</v>
      </c>
      <c r="P24" s="33">
        <v>223147180</v>
      </c>
      <c r="Q24" s="36" t="s">
        <v>9</v>
      </c>
      <c r="R24" s="32" t="s">
        <v>361</v>
      </c>
      <c r="S24" s="36" t="s">
        <v>0</v>
      </c>
    </row>
    <row r="25" spans="1:20" ht="313.5">
      <c r="B25" s="20" t="s">
        <v>86</v>
      </c>
      <c r="C25" s="20" t="s">
        <v>86</v>
      </c>
      <c r="D25" s="20" t="s">
        <v>87</v>
      </c>
      <c r="E25" s="8" t="s">
        <v>88</v>
      </c>
      <c r="F25" s="31" t="s">
        <v>89</v>
      </c>
      <c r="G25" s="31" t="s">
        <v>144</v>
      </c>
      <c r="H25" s="32" t="s">
        <v>168</v>
      </c>
      <c r="I25" s="33">
        <v>318231608</v>
      </c>
      <c r="J25" s="34">
        <v>45826</v>
      </c>
      <c r="K25" s="34">
        <v>46022</v>
      </c>
      <c r="L25" s="35" t="s">
        <v>3</v>
      </c>
      <c r="M25" s="35" t="s">
        <v>2</v>
      </c>
      <c r="N25" s="32" t="s">
        <v>169</v>
      </c>
      <c r="O25" s="33">
        <v>318231608</v>
      </c>
      <c r="P25" s="33">
        <v>0</v>
      </c>
      <c r="Q25" s="36" t="s">
        <v>208</v>
      </c>
      <c r="R25" s="32" t="s">
        <v>350</v>
      </c>
      <c r="S25" s="36" t="s">
        <v>0</v>
      </c>
    </row>
    <row r="26" spans="1:20" ht="409.5">
      <c r="B26" s="20" t="s">
        <v>86</v>
      </c>
      <c r="C26" s="20" t="s">
        <v>86</v>
      </c>
      <c r="D26" s="20" t="s">
        <v>87</v>
      </c>
      <c r="E26" s="8" t="s">
        <v>88</v>
      </c>
      <c r="F26" s="40" t="s">
        <v>89</v>
      </c>
      <c r="G26" s="40" t="s">
        <v>299</v>
      </c>
      <c r="H26" s="32" t="s">
        <v>49</v>
      </c>
      <c r="I26" s="33">
        <v>960773130</v>
      </c>
      <c r="J26" s="34">
        <v>45904</v>
      </c>
      <c r="K26" s="34">
        <v>46022</v>
      </c>
      <c r="L26" s="32" t="s">
        <v>3</v>
      </c>
      <c r="M26" s="35" t="s">
        <v>2</v>
      </c>
      <c r="N26" s="32" t="s">
        <v>252</v>
      </c>
      <c r="O26" s="33">
        <v>960773130</v>
      </c>
      <c r="P26" s="33">
        <v>0</v>
      </c>
      <c r="Q26" s="36" t="s">
        <v>208</v>
      </c>
      <c r="R26" s="32" t="s">
        <v>370</v>
      </c>
      <c r="S26" s="46" t="s">
        <v>0</v>
      </c>
    </row>
    <row r="27" spans="1:20" ht="228">
      <c r="B27" s="20" t="s">
        <v>86</v>
      </c>
      <c r="C27" s="20" t="s">
        <v>86</v>
      </c>
      <c r="D27" s="20" t="s">
        <v>87</v>
      </c>
      <c r="E27" s="8" t="s">
        <v>88</v>
      </c>
      <c r="F27" s="40" t="s">
        <v>89</v>
      </c>
      <c r="G27" s="40" t="s">
        <v>300</v>
      </c>
      <c r="H27" s="32" t="s">
        <v>255</v>
      </c>
      <c r="I27" s="33">
        <v>154599450</v>
      </c>
      <c r="J27" s="34">
        <v>45912</v>
      </c>
      <c r="K27" s="34">
        <v>46022</v>
      </c>
      <c r="L27" s="32" t="s">
        <v>3</v>
      </c>
      <c r="M27" s="35" t="s">
        <v>2</v>
      </c>
      <c r="N27" s="32" t="s">
        <v>256</v>
      </c>
      <c r="O27" s="33">
        <v>154599450</v>
      </c>
      <c r="P27" s="33">
        <v>0</v>
      </c>
      <c r="Q27" s="36" t="s">
        <v>208</v>
      </c>
      <c r="R27" s="32" t="s">
        <v>370</v>
      </c>
      <c r="S27" s="46" t="s">
        <v>0</v>
      </c>
    </row>
    <row r="28" spans="1:20" ht="256.5">
      <c r="B28" s="20" t="s">
        <v>86</v>
      </c>
      <c r="C28" s="20" t="s">
        <v>86</v>
      </c>
      <c r="D28" s="20" t="s">
        <v>87</v>
      </c>
      <c r="E28" s="8" t="s">
        <v>88</v>
      </c>
      <c r="F28" s="40" t="s">
        <v>89</v>
      </c>
      <c r="G28" s="40" t="s">
        <v>423</v>
      </c>
      <c r="H28" s="32" t="s">
        <v>265</v>
      </c>
      <c r="I28" s="33">
        <v>446925088</v>
      </c>
      <c r="J28" s="34">
        <v>45945</v>
      </c>
      <c r="K28" s="34">
        <v>45960</v>
      </c>
      <c r="L28" s="32" t="s">
        <v>266</v>
      </c>
      <c r="M28" s="35" t="s">
        <v>2</v>
      </c>
      <c r="N28" s="32" t="s">
        <v>267</v>
      </c>
      <c r="O28" s="33">
        <v>446925087</v>
      </c>
      <c r="P28" s="33">
        <v>1</v>
      </c>
      <c r="Q28" s="36" t="s">
        <v>208</v>
      </c>
      <c r="R28" s="32" t="s">
        <v>370</v>
      </c>
      <c r="S28" s="36" t="s">
        <v>268</v>
      </c>
    </row>
    <row r="29" spans="1:20" ht="256.5">
      <c r="B29" s="20" t="s">
        <v>86</v>
      </c>
      <c r="C29" s="20" t="s">
        <v>86</v>
      </c>
      <c r="D29" s="20" t="s">
        <v>87</v>
      </c>
      <c r="E29" s="8" t="s">
        <v>88</v>
      </c>
      <c r="F29" s="40" t="s">
        <v>89</v>
      </c>
      <c r="G29" s="40" t="s">
        <v>425</v>
      </c>
      <c r="H29" s="32" t="s">
        <v>332</v>
      </c>
      <c r="I29" s="33">
        <v>346428000</v>
      </c>
      <c r="J29" s="35"/>
      <c r="K29" s="34">
        <v>46022</v>
      </c>
      <c r="L29" s="32" t="s">
        <v>333</v>
      </c>
      <c r="M29" s="35" t="s">
        <v>2</v>
      </c>
      <c r="N29" s="32" t="s">
        <v>334</v>
      </c>
      <c r="O29" s="33"/>
      <c r="P29" s="33">
        <v>346428000</v>
      </c>
      <c r="Q29" s="36" t="s">
        <v>9</v>
      </c>
      <c r="R29" s="32" t="s">
        <v>373</v>
      </c>
      <c r="S29" s="36" t="s">
        <v>0</v>
      </c>
      <c r="T29" s="1" t="s">
        <v>302</v>
      </c>
    </row>
  </sheetData>
  <autoFilter ref="A16:U16"/>
  <mergeCells count="25">
    <mergeCell ref="N15:N16"/>
    <mergeCell ref="O15:O16"/>
    <mergeCell ref="P15:P16"/>
    <mergeCell ref="Q15:Q16"/>
    <mergeCell ref="R15:R16"/>
    <mergeCell ref="M15:M16"/>
    <mergeCell ref="C12:F12"/>
    <mergeCell ref="C13:F13"/>
    <mergeCell ref="B15:B16"/>
    <mergeCell ref="C15:C16"/>
    <mergeCell ref="D15:D16"/>
    <mergeCell ref="E15:E16"/>
    <mergeCell ref="F15:F16"/>
    <mergeCell ref="G15:G16"/>
    <mergeCell ref="H15:H16"/>
    <mergeCell ref="I15:I16"/>
    <mergeCell ref="J15:K15"/>
    <mergeCell ref="L15:L16"/>
    <mergeCell ref="C11:F11"/>
    <mergeCell ref="G11:J11"/>
    <mergeCell ref="G8:I8"/>
    <mergeCell ref="C9:F9"/>
    <mergeCell ref="G9:J9"/>
    <mergeCell ref="C10:F10"/>
    <mergeCell ref="G10:J10"/>
  </mergeCells>
  <hyperlinks>
    <hyperlink ref="C13" r:id="rId1"/>
  </hyperlinks>
  <pageMargins left="0.23622047244094491" right="0.23622047244094491" top="0.74803149606299213" bottom="0.74803149606299213" header="0.31496062992125984" footer="0.31496062992125984"/>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18</vt:i4>
      </vt:variant>
    </vt:vector>
  </HeadingPairs>
  <TitlesOfParts>
    <vt:vector size="23" baseType="lpstr">
      <vt:lpstr>CONT GRAL SGTO 2025 (6)</vt:lpstr>
      <vt:lpstr>CONT NOV - DIC</vt:lpstr>
      <vt:lpstr>MANUELA</vt:lpstr>
      <vt:lpstr>LUISA</vt:lpstr>
      <vt:lpstr>PILAR</vt:lpstr>
      <vt:lpstr>'CONT GRAL SGTO 2025 (6)'!_Hlk158794827</vt:lpstr>
      <vt:lpstr>'CONT NOV - DIC'!_Hlk158794827</vt:lpstr>
      <vt:lpstr>'CONT GRAL SGTO 2025 (6)'!_Hlk164950782</vt:lpstr>
      <vt:lpstr>'CONT NOV - DIC'!_Hlk164950782</vt:lpstr>
      <vt:lpstr>'CONT GRAL SGTO 2025 (6)'!_Hlk191889179</vt:lpstr>
      <vt:lpstr>'CONT NOV - DIC'!_Hlk191889179</vt:lpstr>
      <vt:lpstr>'CONT GRAL SGTO 2025 (6)'!_Hlk192857042</vt:lpstr>
      <vt:lpstr>'CONT NOV - DIC'!_Hlk192857042</vt:lpstr>
      <vt:lpstr>'CONT GRAL SGTO 2025 (6)'!_Hlk193444542</vt:lpstr>
      <vt:lpstr>'CONT NOV - DIC'!_Hlk193444542</vt:lpstr>
      <vt:lpstr>'CONT GRAL SGTO 2025 (6)'!_Hlk195173545</vt:lpstr>
      <vt:lpstr>'CONT NOV - DIC'!_Hlk195173545</vt:lpstr>
      <vt:lpstr>'CONT GRAL SGTO 2025 (6)'!_Hlk214605632</vt:lpstr>
      <vt:lpstr>'CONT NOV - DIC'!_Hlk214605632</vt:lpstr>
      <vt:lpstr>'CONT GRAL SGTO 2025 (6)'!_Hlk214605638</vt:lpstr>
      <vt:lpstr>'CONT NOV - DIC'!_Hlk214605638</vt:lpstr>
      <vt:lpstr>'CONT GRAL SGTO 2025 (6)'!_Hlk63675339</vt:lpstr>
      <vt:lpstr>'CONT NOV - DIC'!_Hlk63675339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fondeser 4</dc:creator>
  <cp:lastModifiedBy>Fondeser</cp:lastModifiedBy>
  <dcterms:created xsi:type="dcterms:W3CDTF">2025-05-29T16:53:17Z</dcterms:created>
  <dcterms:modified xsi:type="dcterms:W3CDTF">2026-02-20T19:09:34Z</dcterms:modified>
</cp:coreProperties>
</file>